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30030012\AppData\Local\Microsoft\Windows\INetCache\Content.Outlook\W1CNXRE9\"/>
    </mc:Choice>
  </mc:AlternateContent>
  <xr:revisionPtr revIDLastSave="0" documentId="13_ncr:1_{555EA34F-4E20-4943-A2BD-4D7356F80091}" xr6:coauthVersionLast="36" xr6:coauthVersionMax="46" xr10:uidLastSave="{00000000-0000-0000-0000-000000000000}"/>
  <bookViews>
    <workbookView xWindow="22935" yWindow="-105" windowWidth="23250" windowHeight="12720" tabRatio="789" activeTab="7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7" l="1"/>
  <c r="M12" i="7"/>
  <c r="N12" i="7"/>
  <c r="O12" i="7"/>
  <c r="P12" i="7"/>
  <c r="L13" i="7"/>
  <c r="M13" i="7"/>
  <c r="N13" i="7"/>
  <c r="O13" i="7"/>
  <c r="P13" i="7"/>
  <c r="J14" i="7"/>
  <c r="E7" i="17"/>
  <c r="E6" i="17"/>
  <c r="E4" i="17"/>
  <c r="J8" i="7"/>
  <c r="F19" i="1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G21" i="18" l="1"/>
  <c r="L21" i="18"/>
  <c r="K21" i="18"/>
  <c r="H21" i="18"/>
  <c r="I21" i="18"/>
  <c r="J21" i="18"/>
  <c r="N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S12" i="7"/>
  <c r="T12" i="7"/>
  <c r="U12" i="7"/>
  <c r="V12" i="7"/>
  <c r="W12" i="7"/>
  <c r="R12" i="7"/>
  <c r="X12" i="7" l="1"/>
  <c r="X13" i="7"/>
  <c r="X11" i="7"/>
  <c r="X16" i="7"/>
  <c r="X15" i="7"/>
  <c r="X17" i="7"/>
  <c r="X14" i="7"/>
  <c r="G58" i="17"/>
  <c r="H58" i="17"/>
  <c r="I58" i="17"/>
  <c r="J58" i="17"/>
  <c r="K58" i="17"/>
  <c r="L58" i="17"/>
  <c r="M58" i="17"/>
  <c r="N58" i="17"/>
  <c r="H64" i="17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4" i="7" l="1"/>
  <c r="I15" i="7"/>
  <c r="M15" i="7"/>
  <c r="H16" i="7"/>
  <c r="L16" i="7"/>
  <c r="P16" i="7"/>
  <c r="K17" i="7"/>
  <c r="O17" i="7"/>
  <c r="N11" i="7"/>
  <c r="L11" i="7"/>
  <c r="H11" i="7"/>
  <c r="L14" i="7"/>
  <c r="K15" i="7"/>
  <c r="N16" i="7"/>
  <c r="M17" i="7"/>
  <c r="P11" i="7"/>
  <c r="I14" i="7"/>
  <c r="H15" i="7"/>
  <c r="P15" i="7"/>
  <c r="O16" i="7"/>
  <c r="N17" i="7"/>
  <c r="M11" i="7"/>
  <c r="K14" i="7"/>
  <c r="O14" i="7"/>
  <c r="J15" i="7"/>
  <c r="N15" i="7"/>
  <c r="I16" i="7"/>
  <c r="M16" i="7"/>
  <c r="H17" i="7"/>
  <c r="L17" i="7"/>
  <c r="P17" i="7"/>
  <c r="O11" i="7"/>
  <c r="J11" i="7"/>
  <c r="H14" i="7"/>
  <c r="P14" i="7"/>
  <c r="O15" i="7"/>
  <c r="J16" i="7"/>
  <c r="I17" i="7"/>
  <c r="K11" i="7"/>
  <c r="M14" i="7"/>
  <c r="L15" i="7"/>
  <c r="K16" i="7"/>
  <c r="J17" i="7"/>
  <c r="I11" i="7"/>
  <c r="F17" i="7"/>
  <c r="F15" i="7"/>
  <c r="F16" i="7"/>
  <c r="F14" i="7"/>
  <c r="F11" i="7"/>
  <c r="M8" i="4"/>
  <c r="M7" i="4"/>
  <c r="C5" i="1"/>
  <c r="D6" i="15"/>
  <c r="D6" i="7"/>
  <c r="Q13" i="7" l="1"/>
  <c r="Q15" i="7"/>
  <c r="Q11" i="7"/>
  <c r="Q12" i="7"/>
  <c r="Q16" i="7"/>
  <c r="Q14" i="7"/>
  <c r="Q17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<sst xmlns="http://schemas.openxmlformats.org/spreadsheetml/2006/main" count="1379" uniqueCount="672">
  <si>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</si>
  <si>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</si>
  <si>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</si>
  <si>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</si>
  <si>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</si>
  <si>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</si>
  <si>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</si>
  <si>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</si>
  <si>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</si>
  <si>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</si>
  <si>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</si>
  <si>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</si>
  <si>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</si>
  <si>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</si>
  <si>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</si>
  <si>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</si>
  <si>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</si>
  <si>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</si>
  <si>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</si>
  <si>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</si>
  <si>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</si>
  <si>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</si>
  <si>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</si>
  <si>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</si>
  <si>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</si>
  <si>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</si>
  <si>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</si>
  <si>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</si>
  <si>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</si>
  <si>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</si>
  <si>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</si>
  <si>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</si>
  <si>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</si>
  <si>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</si>
  <si>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</si>
  <si>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</si>
  <si>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</si>
  <si>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</si>
  <si>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</si>
  <si>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</si>
  <si>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</si>
  <si>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</si>
  <si>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</si>
  <si>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</si>
  <si>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</si>
  <si>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</si>
  <si>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</si>
  <si>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</si>
  <si>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</si>
  <si>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</si>
  <si>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</si>
  <si>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</si>
  <si>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</si>
  <si>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</si>
  <si>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</si>
  <si>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</si>
  <si>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</si>
  <si>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</si>
  <si>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</si>
  <si>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</si>
  <si>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</si>
  <si>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</si>
  <si>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</si>
  <si>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</si>
  <si>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</si>
  <si>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</si>
  <si>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</si>
  <si>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</si>
  <si>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</si>
  <si>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</si>
  <si>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</si>
  <si>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</si>
  <si>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</si>
  <si>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</si>
  <si>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</si>
  <si>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</si>
  <si>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</si>
  <si>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</si>
  <si>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</si>
  <si>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</si>
  <si>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</si>
  <si>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</si>
  <si>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</si>
  <si>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</si>
  <si>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</si>
  <si>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</si>
  <si>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</si>
  <si>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</si>
  <si>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</si>
  <si>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</si>
  <si>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</si>
  <si>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</si>
  <si>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</si>
  <si>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</si>
  <si>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</si>
  <si>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</si>
  <si>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</si>
  <si>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</si>
  <si>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</si>
  <si>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</si>
  <si>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</si>
  <si>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</si>
  <si>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</si>
  <si>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</si>
  <si>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</si>
  <si>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</si>
  <si>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</si>
  <si>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</si>
  <si>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</si>
  <si>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</si>
  <si>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</si>
  <si>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</si>
  <si>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</si>
  <si>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</si>
  <si>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</si>
  <si>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</si>
  <si>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</si>
  <si>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</si>
  <si>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</si>
  <si>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</si>
  <si>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</si>
  <si>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</si>
  <si>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</si>
  <si>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</si>
  <si>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</si>
  <si>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</si>
  <si>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</si>
  <si>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</si>
  <si>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</si>
  <si>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</si>
  <si>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</si>
  <si>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</si>
  <si>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</si>
  <si>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</si>
  <si>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</si>
  <si>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</si>
  <si>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</si>
  <si>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</si>
  <si>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</si>
  <si>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</si>
  <si>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</si>
  <si>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</si>
  <si>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</si>
  <si>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</si>
  <si>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</si>
  <si>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</si>
  <si>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</si>
  <si>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</si>
  <si>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</si>
  <si>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</si>
  <si>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</si>
  <si>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</si>
  <si>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</si>
  <si>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</si>
  <si>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</si>
  <si>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</si>
  <si>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</si>
  <si>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</si>
  <si>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</si>
  <si>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</si>
  <si>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</si>
  <si>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</si>
  <si>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</si>
  <si>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</si>
  <si>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</si>
  <si>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</si>
  <si>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</si>
  <si>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</si>
  <si>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</si>
  <si>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</si>
  <si>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</si>
  <si>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</si>
  <si>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</si>
  <si>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</si>
  <si>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</si>
  <si>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</si>
  <si>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</si>
  <si>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</si>
  <si>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</si>
  <si>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</si>
  <si>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</si>
  <si>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</si>
  <si>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</si>
  <si>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</si>
  <si>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</si>
  <si>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</si>
  <si>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</si>
  <si>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</si>
  <si>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</si>
  <si>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</si>
  <si>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</si>
  <si>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</si>
  <si>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</si>
  <si>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</si>
  <si>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</si>
  <si>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</si>
  <si>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</si>
  <si>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</si>
  <si>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</si>
  <si>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</si>
  <si>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</si>
  <si>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</si>
  <si>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</si>
  <si>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</si>
  <si>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</si>
  <si>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</si>
  <si>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</si>
  <si>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</si>
  <si>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</si>
  <si>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</si>
  <si>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</si>
  <si>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</si>
  <si>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</si>
  <si>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</si>
  <si>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</si>
  <si>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</si>
  <si>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</si>
  <si>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</si>
  <si>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</si>
  <si>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</si>
  <si>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</si>
  <si>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</si>
  <si>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</si>
  <si>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</si>
  <si>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</si>
  <si>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</si>
  <si>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</si>
  <si>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</si>
  <si>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</si>
  <si>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</si>
  <si>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</si>
  <si>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</si>
  <si>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</si>
  <si>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</si>
  <si>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</si>
  <si>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</si>
  <si>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</si>
  <si>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</si>
  <si>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</si>
  <si>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</si>
  <si>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</si>
  <si>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</si>
  <si>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</si>
  <si>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</si>
  <si>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</si>
  <si>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</si>
  <si>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</si>
  <si>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</si>
  <si>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</si>
  <si>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</si>
  <si>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</si>
  <si>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</si>
  <si>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</si>
  <si>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</si>
  <si>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</si>
  <si>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</si>
  <si>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</si>
  <si>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</si>
  <si>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</si>
  <si>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</si>
  <si>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</si>
  <si>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</si>
  <si>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</si>
  <si>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</si>
  <si>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</si>
  <si>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</si>
  <si>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</si>
  <si>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</si>
  <si>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</si>
  <si>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</si>
  <si>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</si>
  <si>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</si>
  <si>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</si>
  <si>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</si>
  <si>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</si>
  <si>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</si>
  <si>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</si>
  <si>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</si>
  <si>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</si>
  <si>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</si>
  <si>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</si>
  <si>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</si>
  <si>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</si>
  <si>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</si>
  <si>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</si>
  <si>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</si>
  <si>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</si>
  <si>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</si>
  <si>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</si>
  <si>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</si>
  <si>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</si>
  <si>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</si>
  <si>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</si>
  <si>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</si>
  <si>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</si>
  <si>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</si>
  <si>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</si>
  <si>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</si>
  <si>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</si>
  <si>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</si>
  <si>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</si>
  <si>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</si>
  <si>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</si>
  <si>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</si>
  <si>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</si>
  <si>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</si>
  <si>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</si>
  <si>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</si>
  <si>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</si>
  <si>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</si>
  <si>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</si>
  <si>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</si>
  <si>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</si>
  <si>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</si>
  <si>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</si>
  <si>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</si>
  <si>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</si>
  <si>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</si>
  <si>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</si>
  <si>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</si>
  <si>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</si>
  <si>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</si>
  <si>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</si>
  <si>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</si>
  <si>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</si>
  <si>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</si>
  <si>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</si>
  <si>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</si>
  <si>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</si>
  <si>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</si>
  <si>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</si>
  <si>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</si>
  <si>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</si>
  <si>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</si>
  <si>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</si>
  <si>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</si>
  <si>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</si>
  <si>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</si>
  <si>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</si>
  <si>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</si>
  <si>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</si>
  <si>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</si>
  <si>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</si>
  <si>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</si>
  <si>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</si>
  <si>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</si>
  <si>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</si>
  <si>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</si>
  <si>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</si>
  <si>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</si>
  <si>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</si>
  <si>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</si>
  <si>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</si>
  <si>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</si>
  <si>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</si>
  <si>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</si>
  <si>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</si>
  <si>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</si>
  <si>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</si>
  <si>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</si>
  <si>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</si>
  <si>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</si>
  <si>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</si>
  <si>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</si>
  <si>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</si>
  <si>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</si>
  <si>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</si>
  <si>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</si>
  <si>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</si>
  <si>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</si>
  <si>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</si>
  <si>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</si>
  <si>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</si>
  <si>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</si>
  <si>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</si>
  <si>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</si>
  <si>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</si>
  <si>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</si>
  <si>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</si>
  <si>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</si>
  <si>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</si>
  <si>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</si>
  <si>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</si>
  <si>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</si>
  <si>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</si>
  <si>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</si>
  <si>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</si>
  <si>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</si>
  <si>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</si>
  <si>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</si>
  <si>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</si>
  <si>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</si>
  <si>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</si>
  <si>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</si>
  <si>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</si>
  <si>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</si>
  <si>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</si>
  <si>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</si>
  <si>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</si>
  <si>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</si>
  <si>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</si>
  <si>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</si>
  <si>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</si>
  <si>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</si>
  <si>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</si>
  <si>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</si>
  <si>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</si>
  <si>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</si>
  <si>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</si>
  <si>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</si>
  <si>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</si>
  <si>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</si>
  <si>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</si>
  <si>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</si>
  <si>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</si>
  <si>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</si>
  <si>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</si>
  <si>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</si>
  <si>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</si>
  <si>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</si>
  <si>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</si>
  <si>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</si>
  <si>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</si>
  <si>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</si>
  <si>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</si>
  <si>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</si>
  <si>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</si>
  <si>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</si>
  <si>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</si>
  <si>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</si>
  <si>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</si>
  <si>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</si>
  <si>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</si>
  <si>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</si>
  <si>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</si>
  <si>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</si>
  <si>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</si>
  <si>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</si>
  <si>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</si>
  <si>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</si>
  <si>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</si>
  <si>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</si>
  <si>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</si>
  <si>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</si>
  <si>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</si>
  <si>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</si>
  <si>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</si>
  <si>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</si>
  <si>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</si>
  <si>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</si>
  <si>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</si>
  <si>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</si>
  <si>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</si>
  <si>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</si>
  <si>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</si>
  <si>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</si>
  <si>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</si>
  <si>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</si>
  <si>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</si>
  <si>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</si>
  <si>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</si>
  <si>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</si>
  <si>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</si>
  <si>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</si>
  <si>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</si>
  <si>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</si>
  <si>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</si>
  <si>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</si>
  <si>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</si>
  <si>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</si>
  <si>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</si>
  <si>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</si>
  <si>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</si>
  <si>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</si>
  <si>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</si>
  <si>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</si>
  <si>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</si>
  <si>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</si>
  <si>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</si>
  <si>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</si>
  <si>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</si>
  <si>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</si>
  <si>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</si>
  <si>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</si>
  <si>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</si>
  <si>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</si>
  <si>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</si>
  <si>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</si>
  <si>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</si>
  <si>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</si>
  <si>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</si>
  <si>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</si>
  <si>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</si>
  <si>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</si>
  <si>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</si>
  <si>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</si>
  <si>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</si>
  <si>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</si>
  <si>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</si>
  <si>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</si>
  <si>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</si>
  <si>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</si>
  <si>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</si>
  <si>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</si>
  <si>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</si>
  <si>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</si>
  <si>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</si>
  <si>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</si>
  <si>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</si>
  <si>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</si>
  <si>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</si>
  <si>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</si>
  <si>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</si>
  <si>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</si>
  <si>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</si>
  <si>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</si>
  <si>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</si>
  <si>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</si>
  <si>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</si>
  <si>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</si>
  <si>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</si>
  <si>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</si>
  <si>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</si>
  <si>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</si>
  <si>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</si>
  <si>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</si>
  <si>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</si>
  <si>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</si>
  <si>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</si>
  <si>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</si>
  <si>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</si>
  <si>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</si>
  <si>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</si>
  <si>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</si>
  <si>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</si>
  <si>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</si>
  <si>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</si>
  <si>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</si>
  <si>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</si>
  <si>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</si>
  <si>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</si>
  <si>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</si>
  <si>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</si>
  <si>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</si>
  <si>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</si>
  <si>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</si>
  <si>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</si>
  <si>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</si>
  <si>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</si>
  <si>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</si>
  <si>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</si>
  <si>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</si>
  <si>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</si>
  <si>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</si>
  <si>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</si>
  <si>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</si>
  <si>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</si>
  <si>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</si>
  <si>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</si>
  <si>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</si>
  <si>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</si>
  <si>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</si>
  <si>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</si>
  <si>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</si>
  <si>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</si>
  <si>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</si>
  <si>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</si>
  <si>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</si>
  <si>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</si>
  <si>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</si>
  <si>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</si>
  <si>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</si>
  <si>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</si>
  <si>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</si>
  <si>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</si>
  <si>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</si>
  <si>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</si>
  <si>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</si>
  <si>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</si>
  <si>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</si>
  <si>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</si>
  <si>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</si>
  <si>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</si>
  <si>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</si>
  <si>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</si>
  <si>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</si>
  <si>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</si>
  <si>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</si>
  <si>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</si>
  <si>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</si>
  <si>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</si>
  <si>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</si>
  <si>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</si>
  <si>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</si>
  <si>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</si>
  <si>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</si>
  <si>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</si>
  <si>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</si>
  <si>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</si>
  <si>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</si>
  <si>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</si>
  <si>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</si>
  <si>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</si>
  <si>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</si>
  <si>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</si>
  <si>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</si>
  <si>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</si>
  <si>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</si>
  <si>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</si>
  <si>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</si>
  <si>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</si>
  <si>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</si>
  <si>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</si>
  <si>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</si>
  <si>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</si>
  <si>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</si>
  <si>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</si>
  <si>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</si>
  <si>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</si>
  <si>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</si>
  <si>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</si>
  <si>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</si>
  <si>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</si>
  <si>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</si>
  <si>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</si>
  <si>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</si>
  <si>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</si>
  <si>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</si>
  <si>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</si>
  <si>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</si>
  <si>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</si>
  <si>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</si>
  <si>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</si>
  <si>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</si>
  <si>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</si>
  <si>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</si>
  <si>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</si>
  <si>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</si>
  <si>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</si>
  <si>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</si>
  <si>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</si>
  <si>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</si>
  <si>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</si>
  <si>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</si>
  <si>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</si>
  <si>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</si>
  <si>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</si>
  <si>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</si>
  <si>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</si>
  <si>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</si>
  <si>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</si>
  <si>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</si>
  <si>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</si>
  <si>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</si>
  <si>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</si>
  <si>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</si>
  <si>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</si>
  <si>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Bilanzkreismanagement</t>
  </si>
  <si>
    <t>bilanzkreismanagement@bs-netz.de</t>
  </si>
  <si>
    <t>Görlitz</t>
  </si>
  <si>
    <t>Ind.-Koef.</t>
  </si>
  <si>
    <t>DE_GMK04</t>
  </si>
  <si>
    <t>DE_GHA04</t>
  </si>
  <si>
    <t>DE_GKO04</t>
  </si>
  <si>
    <t>DE_HMF04</t>
  </si>
  <si>
    <t>DE_HEF04</t>
  </si>
  <si>
    <t>Gasversorgung Görlitz GmbH</t>
  </si>
  <si>
    <t>Demianiplatz 24</t>
  </si>
  <si>
    <t>THE0NKH700207000</t>
  </si>
  <si>
    <t>Görlitz-Flugplatz</t>
  </si>
  <si>
    <t>GR1</t>
  </si>
  <si>
    <t>GR2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</si>
</sst>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  <numFmt numFmtId="195" formatCode="0_ ;\-0\ 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7" fillId="33" borderId="17" xfId="152" applyFill="1" applyBorder="1" applyAlignment="1" applyProtection="1">
      <alignment horizontal="center"/>
      <protection locked="0"/>
    </xf>
    <xf numFmtId="195" fontId="0" fillId="33" borderId="17" xfId="1" applyNumberFormat="1" applyFont="1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Border="1" applyAlignment="1" applyProtection="1">
      <alignment vertical="top"/>
      <protection hidden="1"/>
    </xf>
    <xf numFmtId="1" fontId="12" fillId="0" borderId="0" xfId="3" applyNumberFormat="1" applyFont="1" applyFill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257304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113348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4</xdr:col>
      <xdr:colOff>237966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ilanzkreismanagement@bs-netz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71093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8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opLeftCell="A43" zoomScale="80" zoomScaleNormal="80" workbookViewId="0">
      <selection activeCell="D4" sqref="D4"/>
    </sheetView>
  </sheetViews>
  <sheetFormatPr baseColWidth="10" defaultColWidth="0" defaultRowHeight="15" zeroHeight="1"/>
  <cols>
    <col min="1" max="1" width="2.7109375" style="8" customWidth="1"/>
    <col min="2" max="2" width="5.7109375" style="2" customWidth="1"/>
    <col min="3" max="3" width="65" customWidth="1"/>
    <col min="4" max="4" width="35.71093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44470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42370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666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2">
        <v>9870020700000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667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2826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657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51" t="s">
        <v>658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/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tr">
        <f>IF(D27&lt;&gt;C28,VLOOKUP(D27,$C$29:$D$48,2,FALSE),C28)</f>
        <v>Görlitz</v>
      </c>
      <c r="E28" s="38"/>
      <c r="F28" s="11"/>
      <c r="G28" s="2"/>
    </row>
    <row r="29" spans="1:15">
      <c r="B29" s="15"/>
      <c r="C29" s="22" t="s">
        <v>393</v>
      </c>
      <c r="D29" s="44" t="s">
        <v>659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55" zoomScale="80" zoomScaleNormal="80" workbookViewId="0">
      <selection activeCell="D46" sqref="D46"/>
    </sheetView>
  </sheetViews>
  <sheetFormatPr baseColWidth="10" defaultColWidth="0" defaultRowHeight="18" customHeight="1"/>
  <cols>
    <col min="1" max="1" width="2.7109375" style="8" customWidth="1"/>
    <col min="2" max="2" width="5.7109375" style="8" customWidth="1"/>
    <col min="3" max="3" width="51.42578125" style="8" customWidth="1"/>
    <col min="4" max="4" width="33.28515625" style="8" customWidth="1"/>
    <col min="5" max="5" width="26.5703125" style="8" customWidth="1"/>
    <col min="6" max="39" width="8.7109375" style="13" hidden="1" customWidth="1"/>
    <col min="40" max="16384" width="8.71093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Gasversorgung Görlitz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Görlitz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353">
        <f>Netzbetreiber!$D$11</f>
        <v>9870020700000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42370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6" t="s">
        <v>616</v>
      </c>
      <c r="I11" s="276" t="s">
        <v>617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653</v>
      </c>
      <c r="D13" s="42" t="s">
        <v>668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74" t="s">
        <v>257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575</v>
      </c>
      <c r="I16" s="275" t="s">
        <v>486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487</v>
      </c>
      <c r="I17" s="275" t="s">
        <v>488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613</v>
      </c>
      <c r="D19" s="48" t="s">
        <v>609</v>
      </c>
      <c r="E19" s="15"/>
      <c r="H19" s="272" t="s">
        <v>609</v>
      </c>
      <c r="I19" s="272" t="s">
        <v>610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611</v>
      </c>
      <c r="E20" s="15"/>
      <c r="H20" s="272" t="s">
        <v>612</v>
      </c>
      <c r="I20" s="8" t="s">
        <v>608</v>
      </c>
      <c r="J20" s="8"/>
      <c r="K20" s="8"/>
      <c r="L20" s="273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2" t="s">
        <v>611</v>
      </c>
      <c r="I21" s="272" t="s">
        <v>618</v>
      </c>
      <c r="J21" s="8"/>
      <c r="K21" s="8"/>
      <c r="L21" s="275" t="s">
        <v>619</v>
      </c>
      <c r="M21" s="275" t="s">
        <v>621</v>
      </c>
      <c r="N21" s="275" t="s">
        <v>620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622</v>
      </c>
      <c r="D24" s="42" t="s">
        <v>623</v>
      </c>
      <c r="E24" s="15"/>
      <c r="H24" s="308" t="s">
        <v>623</v>
      </c>
      <c r="I24" s="274" t="s">
        <v>624</v>
      </c>
      <c r="J24" s="274" t="s">
        <v>625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626</v>
      </c>
      <c r="I25" s="275" t="s">
        <v>627</v>
      </c>
      <c r="J25" s="275" t="s">
        <v>628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629</v>
      </c>
      <c r="I26" s="275" t="s">
        <v>630</v>
      </c>
      <c r="J26" s="275" t="s">
        <v>631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632</v>
      </c>
      <c r="I29" s="275" t="s">
        <v>633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634</v>
      </c>
      <c r="I30" s="272" t="s">
        <v>629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491</v>
      </c>
      <c r="C32" s="24" t="s">
        <v>493</v>
      </c>
      <c r="D32" s="268">
        <v>6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2"/>
      <c r="J34" s="272"/>
      <c r="K34" s="272"/>
      <c r="L34" s="272"/>
      <c r="M34" s="273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9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4" t="s">
        <v>659</v>
      </c>
    </row>
    <row r="46" spans="2:39" ht="18" customHeight="1">
      <c r="C46" s="22" t="s">
        <v>587</v>
      </c>
      <c r="D46" s="44"/>
    </row>
    <row r="47" spans="2:39" ht="18" customHeight="1">
      <c r="C47" s="22" t="s">
        <v>588</v>
      </c>
      <c r="D47" s="44"/>
    </row>
    <row r="48" spans="2:39" ht="18" customHeight="1">
      <c r="C48" s="22" t="s">
        <v>589</v>
      </c>
      <c r="D48" s="44"/>
    </row>
    <row r="49" spans="3:4" ht="18" customHeight="1">
      <c r="C49" s="22" t="s">
        <v>590</v>
      </c>
      <c r="D49" s="44"/>
    </row>
    <row r="50" spans="3:4" ht="18" customHeight="1">
      <c r="C50" s="22" t="s">
        <v>591</v>
      </c>
      <c r="D50" s="44"/>
    </row>
    <row r="51" spans="3:4" ht="18" customHeight="1">
      <c r="C51" s="22" t="s">
        <v>592</v>
      </c>
      <c r="D51" s="44"/>
    </row>
    <row r="52" spans="3:4" ht="18" customHeight="1">
      <c r="C52" s="22" t="s">
        <v>593</v>
      </c>
      <c r="D52" s="44"/>
    </row>
    <row r="53" spans="3:4" ht="18" customHeight="1">
      <c r="C53" s="22" t="s">
        <v>594</v>
      </c>
      <c r="D53" s="44"/>
    </row>
    <row r="54" spans="3:4" ht="18" customHeight="1">
      <c r="C54" s="22" t="s">
        <v>595</v>
      </c>
      <c r="D54" s="44"/>
    </row>
    <row r="55" spans="3:4" ht="18" customHeight="1">
      <c r="C55" s="22" t="s">
        <v>596</v>
      </c>
      <c r="D55" s="44"/>
    </row>
    <row r="56" spans="3:4" ht="18" customHeight="1">
      <c r="C56" s="22" t="s">
        <v>597</v>
      </c>
      <c r="D56" s="44"/>
    </row>
    <row r="57" spans="3:4" ht="18" customHeight="1">
      <c r="C57" s="22" t="s">
        <v>598</v>
      </c>
      <c r="D57" s="44"/>
    </row>
    <row r="58" spans="3:4" ht="18" customHeight="1">
      <c r="C58" s="22" t="s">
        <v>599</v>
      </c>
      <c r="D58" s="44"/>
    </row>
    <row r="59" spans="3:4" ht="18" customHeight="1">
      <c r="C59" s="22" t="s">
        <v>600</v>
      </c>
      <c r="D59" s="44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B31" zoomScaleNormal="100" workbookViewId="0">
      <selection activeCell="E24" sqref="E24"/>
    </sheetView>
  </sheetViews>
  <sheetFormatPr baseColWidth="10" defaultColWidth="0" defaultRowHeight="15" zeroHeight="1"/>
  <cols>
    <col min="1" max="1" width="2.71093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28515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28515625" style="209" hidden="1" customWidth="1"/>
    <col min="26" max="26" width="11.7109375" style="209" hidden="1" customWidth="1"/>
    <col min="27" max="27" width="8.71093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tr">
        <f>Netzbetreiber!D9</f>
        <v>Gasversorgung Görlitz GmbH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Görlitz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353">
        <f>Netzbetreiber!D11</f>
        <v>9870020700000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f>Netzbetreiber!D6</f>
        <v>42370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1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 t="str">
        <f>INDEX('SLP-Verfahren'!D45:D59,'SLP-Temp-Gebiet #01'!F10)</f>
        <v>Görlitz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6" t="s">
        <v>584</v>
      </c>
      <c r="D13" s="356"/>
      <c r="E13" s="356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7" t="s">
        <v>445</v>
      </c>
      <c r="D14" s="357"/>
      <c r="E14" s="89" t="s">
        <v>446</v>
      </c>
      <c r="F14" s="266" t="s">
        <v>85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57" t="s">
        <v>385</v>
      </c>
      <c r="D15" s="357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/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517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523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 t="b">
        <f>E23=IF(F20&gt;$F$18,0,1)</f>
        <v>0</v>
      </c>
      <c r="G19" s="178">
        <f t="shared" ref="G19:N19" si="0">IF(G20&gt;$F$18,0,1)</f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525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537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156" t="s">
        <v>502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520</v>
      </c>
      <c r="D24" s="188"/>
      <c r="E24" s="156" t="s">
        <v>669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160">
        <v>9499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156" t="s">
        <v>503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655</v>
      </c>
      <c r="T26" s="209" t="s">
        <v>656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654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/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519</v>
      </c>
      <c r="D29" s="130"/>
      <c r="E29" s="130"/>
      <c r="F29" s="48">
        <v>4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526</v>
      </c>
      <c r="D32" s="186" t="s">
        <v>255</v>
      </c>
      <c r="E32" s="287">
        <f>1-SUMPRODUCT(F30:N30,F32:N32)</f>
        <v>0.5333</v>
      </c>
      <c r="F32" s="287">
        <f>ROUND(F33/$D$33,4)</f>
        <v>0.26669999999999999</v>
      </c>
      <c r="G32" s="287">
        <f t="shared" ref="G32:N32" si="3">ROUND(G33/$D$33,4)</f>
        <v>0.1333</v>
      </c>
      <c r="H32" s="287">
        <f t="shared" si="3"/>
        <v>6.6699999999999995E-2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533</v>
      </c>
      <c r="D33" s="293">
        <f>SUMPRODUCT(E33:N33,E30:N30)</f>
        <v>1.875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156" t="s">
        <v>3</v>
      </c>
      <c r="F34" s="156" t="s">
        <v>357</v>
      </c>
      <c r="G34" s="156" t="s">
        <v>348</v>
      </c>
      <c r="H34" s="156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156" t="s">
        <v>511</v>
      </c>
      <c r="F35" s="156" t="s">
        <v>511</v>
      </c>
      <c r="G35" s="156" t="s">
        <v>511</v>
      </c>
      <c r="H35" s="156" t="s">
        <v>511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605</v>
      </c>
      <c r="D36" s="153" t="s">
        <v>606</v>
      </c>
      <c r="E36" s="156" t="s">
        <v>604</v>
      </c>
      <c r="F36" s="156" t="s">
        <v>604</v>
      </c>
      <c r="G36" s="156" t="s">
        <v>604</v>
      </c>
      <c r="H36" s="156" t="s">
        <v>604</v>
      </c>
      <c r="I36" s="156" t="s">
        <v>604</v>
      </c>
      <c r="J36" s="156" t="s">
        <v>604</v>
      </c>
      <c r="K36" s="156" t="s">
        <v>604</v>
      </c>
      <c r="L36" s="156" t="s">
        <v>604</v>
      </c>
      <c r="M36" s="156" t="s">
        <v>604</v>
      </c>
      <c r="N36" s="156" t="s">
        <v>604</v>
      </c>
      <c r="O36" s="185" t="s">
        <v>142</v>
      </c>
      <c r="Q36" s="211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538</v>
      </c>
      <c r="E37" s="162" t="s">
        <v>449</v>
      </c>
      <c r="F37" s="162" t="s">
        <v>449</v>
      </c>
      <c r="G37" s="162" t="s">
        <v>450</v>
      </c>
      <c r="H37" s="162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524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530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535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536</v>
      </c>
      <c r="D47" s="201" t="s">
        <v>534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534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579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543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518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525</v>
      </c>
      <c r="D56" s="153" t="s">
        <v>515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537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156" t="str">
        <f>E23</f>
        <v>MeteoGroup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520</v>
      </c>
      <c r="D59" s="188"/>
      <c r="E59" s="156" t="str">
        <f>E24</f>
        <v>Görlitz-Flugplatz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521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160">
        <f>E25</f>
        <v>9499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158" t="str">
        <f>E26</f>
        <v>Temp. (2m)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30"/>
      <c r="E63" s="130"/>
      <c r="F63" s="157">
        <v>1</v>
      </c>
    </row>
    <row r="64" spans="2:28" ht="15" customHeight="1">
      <c r="E64" s="178">
        <f>IF(E65&gt;$F$63,0,1)</f>
        <v>1</v>
      </c>
      <c r="F64" s="178">
        <f t="shared" ref="F64:N64" si="11">IF(F65&gt;$F$63,0,1)</f>
        <v>0</v>
      </c>
      <c r="G64" s="178">
        <f t="shared" si="11"/>
        <v>0</v>
      </c>
      <c r="H64" s="178">
        <f t="shared" si="11"/>
        <v>0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526</v>
      </c>
      <c r="D66" s="186" t="s">
        <v>255</v>
      </c>
      <c r="E66" s="287">
        <f>1-SUMPRODUCT(F64:N64,F66:N66)</f>
        <v>1</v>
      </c>
      <c r="F66" s="287">
        <f>ROUND(F67/$D$67,4)</f>
        <v>0.5</v>
      </c>
      <c r="G66" s="287">
        <f t="shared" ref="G66:N66" si="12">ROUND(G67/$D$67,4)</f>
        <v>0.25</v>
      </c>
      <c r="H66" s="287">
        <f t="shared" si="12"/>
        <v>0.125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533</v>
      </c>
      <c r="D67" s="186">
        <f>SUMPRODUCT(E67:N67,E64:N64)</f>
        <v>1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142</v>
      </c>
    </row>
    <row r="70" spans="2:15">
      <c r="B70" s="183"/>
      <c r="C70" s="187" t="s">
        <v>605</v>
      </c>
      <c r="D70" s="153" t="s">
        <v>606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142</v>
      </c>
    </row>
    <row r="71" spans="2:15">
      <c r="B71" s="183"/>
      <c r="C71" s="192" t="s">
        <v>440</v>
      </c>
      <c r="D71" s="119" t="s">
        <v>538</v>
      </c>
      <c r="E71" s="163" t="s">
        <v>450</v>
      </c>
      <c r="F71" s="163" t="s">
        <v>450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142</v>
      </c>
    </row>
    <row r="72" spans="2:15"/>
    <row r="73" spans="2:15" ht="15.75" customHeight="1">
      <c r="C73" s="358" t="s">
        <v>580</v>
      </c>
      <c r="D73" s="358"/>
      <c r="E73" s="358"/>
      <c r="F73" s="358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71093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28515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28515625" style="209" hidden="1" customWidth="1"/>
    <col min="26" max="26" width="11.7109375" style="209" hidden="1" customWidth="1"/>
    <col min="27" max="27" width="8.71093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Görlitz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2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6" t="s">
        <v>584</v>
      </c>
      <c r="D13" s="356"/>
      <c r="E13" s="356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7" t="s">
        <v>445</v>
      </c>
      <c r="D14" s="357"/>
      <c r="E14" s="89" t="s">
        <v>446</v>
      </c>
      <c r="F14" s="266" t="s">
        <v>85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57" t="s">
        <v>385</v>
      </c>
      <c r="D15" s="357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 t="s">
        <v>528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517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523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525</v>
      </c>
      <c r="D21" s="153" t="s">
        <v>515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537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520</v>
      </c>
      <c r="D24" s="188"/>
      <c r="E24" s="156" t="s">
        <v>581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514</v>
      </c>
      <c r="D25" s="188"/>
      <c r="E25" s="160" t="s">
        <v>361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503</v>
      </c>
      <c r="F26" s="156" t="s">
        <v>503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519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526</v>
      </c>
      <c r="D31" s="186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533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359</v>
      </c>
      <c r="D33" s="153" t="s">
        <v>358</v>
      </c>
      <c r="E33" s="156" t="s">
        <v>3</v>
      </c>
      <c r="F33" s="156" t="s">
        <v>357</v>
      </c>
      <c r="G33" s="156" t="s">
        <v>348</v>
      </c>
      <c r="H33" s="156" t="s">
        <v>349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>
      <c r="B34" s="183"/>
      <c r="C34" s="187" t="s">
        <v>448</v>
      </c>
      <c r="D34" s="153" t="s">
        <v>447</v>
      </c>
      <c r="E34" s="156" t="s">
        <v>511</v>
      </c>
      <c r="F34" s="156" t="s">
        <v>511</v>
      </c>
      <c r="G34" s="156" t="s">
        <v>511</v>
      </c>
      <c r="H34" s="156" t="s">
        <v>511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5" t="s">
        <v>142</v>
      </c>
      <c r="Q35" s="211"/>
      <c r="R35" s="67" t="s">
        <v>604</v>
      </c>
      <c r="S35" s="67" t="s">
        <v>607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440</v>
      </c>
      <c r="D36" s="119" t="s">
        <v>538</v>
      </c>
      <c r="E36" s="162" t="s">
        <v>449</v>
      </c>
      <c r="F36" s="162" t="s">
        <v>449</v>
      </c>
      <c r="G36" s="162" t="s">
        <v>450</v>
      </c>
      <c r="H36" s="162" t="s">
        <v>450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347</v>
      </c>
      <c r="D39" s="198"/>
      <c r="E39" s="198" t="s">
        <v>531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532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524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529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530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535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536</v>
      </c>
      <c r="D46" s="201" t="s">
        <v>534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360</v>
      </c>
      <c r="K46" s="198"/>
      <c r="L46" s="198"/>
      <c r="M46" s="198"/>
      <c r="N46" s="198"/>
      <c r="O46" s="199"/>
    </row>
    <row r="47" spans="2:28">
      <c r="B47" s="193"/>
      <c r="C47" s="200" t="s">
        <v>346</v>
      </c>
      <c r="D47" s="201" t="s">
        <v>534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579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543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518</v>
      </c>
      <c r="D54" s="180" t="s">
        <v>513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525</v>
      </c>
      <c r="D55" s="153" t="s">
        <v>515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537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520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521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514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519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526</v>
      </c>
      <c r="D65" s="186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533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>
      <c r="B67" s="183"/>
      <c r="C67" s="187" t="s">
        <v>359</v>
      </c>
      <c r="D67" s="153" t="s">
        <v>358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>
      <c r="B68" s="183"/>
      <c r="C68" s="187" t="s">
        <v>448</v>
      </c>
      <c r="D68" s="153" t="s">
        <v>447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>
      <c r="B69" s="183"/>
      <c r="C69" s="187" t="s">
        <v>605</v>
      </c>
      <c r="D69" s="153" t="s">
        <v>606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>
      <c r="B70" s="183"/>
      <c r="C70" s="192" t="s">
        <v>440</v>
      </c>
      <c r="D70" s="119" t="s">
        <v>538</v>
      </c>
      <c r="E70" s="163" t="s">
        <v>450</v>
      </c>
      <c r="F70" s="163" t="s">
        <v>450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/>
    <row r="72" spans="2:15" ht="15.75" customHeight="1">
      <c r="C72" s="358" t="s">
        <v>580</v>
      </c>
      <c r="D72" s="358"/>
      <c r="E72" s="358"/>
      <c r="F72" s="358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5" zoomScaleNormal="85" workbookViewId="0">
      <selection activeCell="P13" sqref="P13"/>
    </sheetView>
  </sheetViews>
  <sheetFormatPr baseColWidth="10" defaultColWidth="0" defaultRowHeight="15" zeroHeight="1"/>
  <cols>
    <col min="1" max="1" width="2.7109375" style="128" customWidth="1"/>
    <col min="2" max="2" width="8" style="128" customWidth="1"/>
    <col min="3" max="3" width="37.42578125" style="128" customWidth="1"/>
    <col min="4" max="4" width="16.7109375" style="128" bestFit="1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28515625" style="128" customWidth="1"/>
    <col min="18" max="24" width="11.42578125" style="128" customWidth="1"/>
    <col min="25" max="25" width="20.28515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362</v>
      </c>
    </row>
    <row r="3" spans="2:26">
      <c r="B3" s="130" t="s">
        <v>463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367</v>
      </c>
      <c r="D5" s="53" t="str">
        <f>Netzbetreiber!$D$9</f>
        <v>Gasversorgung Görlitz GmbH</v>
      </c>
      <c r="E5" s="130"/>
      <c r="H5" s="88" t="s">
        <v>495</v>
      </c>
      <c r="I5" s="131" t="s">
        <v>498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334</v>
      </c>
      <c r="D6" s="53" t="str">
        <f>Netzbetreiber!$D$28</f>
        <v>Görlitz</v>
      </c>
      <c r="E6" s="130"/>
      <c r="F6" s="130"/>
      <c r="I6" s="131" t="s">
        <v>508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485</v>
      </c>
      <c r="D7" s="354">
        <f>Netzbetreiber!$D$11</f>
        <v>9870020700000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42370</v>
      </c>
      <c r="E8" s="130"/>
      <c r="F8" s="130"/>
      <c r="H8" s="128" t="s">
        <v>493</v>
      </c>
      <c r="J8" s="132">
        <f>COUNTA(D12:D100)</f>
        <v>6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492</v>
      </c>
      <c r="D10" s="134" t="s">
        <v>147</v>
      </c>
      <c r="E10" s="277" t="s">
        <v>510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635</v>
      </c>
      <c r="M10" s="150" t="s">
        <v>644</v>
      </c>
      <c r="N10" s="151" t="s">
        <v>645</v>
      </c>
      <c r="O10" s="151" t="s">
        <v>646</v>
      </c>
      <c r="P10" s="152" t="s">
        <v>647</v>
      </c>
      <c r="Q10" s="146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305" t="s">
        <v>648</v>
      </c>
    </row>
    <row r="11" spans="2:26" ht="15.75" thickBot="1">
      <c r="B11" s="139" t="s">
        <v>494</v>
      </c>
      <c r="C11" s="140" t="s">
        <v>509</v>
      </c>
      <c r="D11" s="304" t="s">
        <v>248</v>
      </c>
      <c r="E11" s="164" t="s">
        <v>516</v>
      </c>
      <c r="F11" s="30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214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21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302">
        <v>365.12299999999999</v>
      </c>
    </row>
    <row r="12" spans="2:26">
      <c r="B12" s="141">
        <v>1</v>
      </c>
      <c r="C12" s="142" t="str">
        <f t="shared" ref="C12:C41" si="0">$D$6</f>
        <v>Görlitz</v>
      </c>
      <c r="D12" s="62" t="s">
        <v>660</v>
      </c>
      <c r="E12" s="165" t="s">
        <v>665</v>
      </c>
      <c r="F12" s="307" t="s">
        <v>670</v>
      </c>
      <c r="H12" s="278">
        <v>3.6152700000000002</v>
      </c>
      <c r="I12" s="278">
        <v>-39.238819999999997</v>
      </c>
      <c r="J12" s="278">
        <v>6.0602400000000003</v>
      </c>
      <c r="K12" s="278">
        <v>0.13400999999999999</v>
      </c>
      <c r="L12" s="279">
        <f>ROUND(VLOOKUP($E12,'BDEW-Standard'!$B$3:$M$94,L$9,0),1)</f>
        <v>40</v>
      </c>
      <c r="M12" s="278">
        <f>ROUND(VLOOKUP($E12,'BDEW-Standard'!$B$3:$M$94,M$9,0),7)</f>
        <v>0</v>
      </c>
      <c r="N12" s="278">
        <f>ROUND(VLOOKUP($E12,'BDEW-Standard'!$B$3:$M$94,N$9,0),7)</f>
        <v>0</v>
      </c>
      <c r="O12" s="278">
        <f>ROUND(VLOOKUP($E12,'BDEW-Standard'!$B$3:$M$94,O$9,0),7)</f>
        <v>0</v>
      </c>
      <c r="P12" s="278">
        <f>ROUND(VLOOKUP($E12,'BDEW-Standard'!$B$3:$M$94,P$9,0),7)</f>
        <v>0</v>
      </c>
      <c r="Q12" s="280">
        <f t="shared" ref="Q12:Q17" si="1">($H12/(1+($I12/($Q$9-$L12))^$J12)+$K12)+MAX($M12*$Q$9+$N12,$O12*$Q$9+$P12)</f>
        <v>0.94800940412840295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>7-SUM(R12:W12)</f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Görlitz</v>
      </c>
      <c r="D13" s="62" t="s">
        <v>660</v>
      </c>
      <c r="E13" s="165" t="s">
        <v>664</v>
      </c>
      <c r="F13" s="307" t="s">
        <v>671</v>
      </c>
      <c r="H13" s="278">
        <v>2.5288311999999999</v>
      </c>
      <c r="I13" s="278">
        <v>-35.029519999999998</v>
      </c>
      <c r="J13" s="278">
        <v>8.1089897999999998</v>
      </c>
      <c r="K13" s="278">
        <v>0.16887099999999999</v>
      </c>
      <c r="L13" s="279">
        <f>ROUND(VLOOKUP($E13,'BDEW-Standard'!$B$3:$M$94,L$9,0),1)</f>
        <v>40</v>
      </c>
      <c r="M13" s="278">
        <f>ROUND(VLOOKUP($E13,'BDEW-Standard'!$B$3:$M$94,M$9,0),7)</f>
        <v>0</v>
      </c>
      <c r="N13" s="278">
        <f>ROUND(VLOOKUP($E13,'BDEW-Standard'!$B$3:$M$94,N$9,0),7)</f>
        <v>0</v>
      </c>
      <c r="O13" s="278">
        <f>ROUND(VLOOKUP($E13,'BDEW-Standard'!$B$3:$M$94,O$9,0),7)</f>
        <v>0</v>
      </c>
      <c r="P13" s="278">
        <f>ROUND(VLOOKUP($E13,'BDEW-Standard'!$B$3:$M$94,P$9,0),7)</f>
        <v>0</v>
      </c>
      <c r="Q13" s="280">
        <f t="shared" si="1"/>
        <v>0.98929218539085284</v>
      </c>
      <c r="R13" s="281">
        <f>ROUND(VLOOKUP(MID($E13,4,3),'Wochentag F(WT)'!$B$7:$J$22,R$9,0),4)</f>
        <v>1</v>
      </c>
      <c r="S13" s="281">
        <f>ROUND(VLOOKUP(MID($E13,4,3),'Wochentag F(WT)'!$B$7:$J$22,S$9,0),4)</f>
        <v>1</v>
      </c>
      <c r="T13" s="281">
        <f>ROUND(VLOOKUP(MID($E13,4,3),'Wochentag F(WT)'!$B$7:$J$22,T$9,0),4)</f>
        <v>1</v>
      </c>
      <c r="U13" s="281">
        <f>ROUND(VLOOKUP(MID($E13,4,3),'Wochentag F(WT)'!$B$7:$J$22,U$9,0),4)</f>
        <v>1</v>
      </c>
      <c r="V13" s="281">
        <f>ROUND(VLOOKUP(MID($E13,4,3),'Wochentag F(WT)'!$B$7:$J$22,V$9,0),4)</f>
        <v>1</v>
      </c>
      <c r="W13" s="281">
        <f>ROUND(VLOOKUP(MID($E13,4,3),'Wochentag F(WT)'!$B$7:$J$22,W$9,0),4)</f>
        <v>1</v>
      </c>
      <c r="X13" s="282">
        <f t="shared" ref="X13:X17" si="2">7-SUM(R13:W13)</f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Görlitz</v>
      </c>
      <c r="D14" s="62" t="s">
        <v>248</v>
      </c>
      <c r="E14" s="165" t="s">
        <v>4</v>
      </c>
      <c r="F14" s="307" t="str">
        <f>VLOOKUP($E14,'BDEW-Standard'!$B$3:$M$94,F$9,0)</f>
        <v>HK3</v>
      </c>
      <c r="H14" s="278">
        <f>ROUND(VLOOKUP($E14,'BDEW-Standard'!$B$3:$M$94,H$9,0),7)</f>
        <v>0.40409319999999999</v>
      </c>
      <c r="I14" s="278">
        <f>ROUND(VLOOKUP($E14,'BDEW-Standard'!$B$3:$M$94,I$9,0),7)</f>
        <v>-24.439296800000001</v>
      </c>
      <c r="J14" s="278">
        <f>ROUND(VLOOKUP($E14,'BDEW-Standard'!$B$3:$M$94,J$9,0),7)</f>
        <v>6.5718174999999999</v>
      </c>
      <c r="K14" s="278">
        <f>ROUND(VLOOKUP($E14,'BDEW-Standard'!$B$3:$M$94,K$9,0),7)</f>
        <v>0.71077100000000004</v>
      </c>
      <c r="L14" s="279">
        <f>ROUND(VLOOKUP($E14,'BDEW-Standard'!$B$3:$M$94,L$9,0),1)</f>
        <v>40</v>
      </c>
      <c r="M14" s="278">
        <f>ROUND(VLOOKUP($E14,'BDEW-Standard'!$B$3:$M$94,M$9,0),7)</f>
        <v>0</v>
      </c>
      <c r="N14" s="278">
        <f>ROUND(VLOOKUP($E14,'BDEW-Standard'!$B$3:$M$94,N$9,0),7)</f>
        <v>0</v>
      </c>
      <c r="O14" s="278">
        <f>ROUND(VLOOKUP($E14,'BDEW-Standard'!$B$3:$M$94,O$9,0),7)</f>
        <v>0</v>
      </c>
      <c r="P14" s="278">
        <f>ROUND(VLOOKUP($E14,'BDEW-Standard'!$B$3:$M$94,P$9,0),7)</f>
        <v>0</v>
      </c>
      <c r="Q14" s="280">
        <f t="shared" si="1"/>
        <v>1.0561214000512988</v>
      </c>
      <c r="R14" s="281">
        <f>ROUND(VLOOKUP(MID($E14,4,3),'Wochentag F(WT)'!$B$7:$J$22,R$9,0),4)</f>
        <v>1</v>
      </c>
      <c r="S14" s="281">
        <f>ROUND(VLOOKUP(MID($E14,4,3),'Wochentag F(WT)'!$B$7:$J$22,S$9,0),4)</f>
        <v>1</v>
      </c>
      <c r="T14" s="281">
        <f>ROUND(VLOOKUP(MID($E14,4,3),'Wochentag F(WT)'!$B$7:$J$22,T$9,0),4)</f>
        <v>1</v>
      </c>
      <c r="U14" s="281">
        <f>ROUND(VLOOKUP(MID($E14,4,3),'Wochentag F(WT)'!$B$7:$J$22,U$9,0),4)</f>
        <v>1</v>
      </c>
      <c r="V14" s="281">
        <f>ROUND(VLOOKUP(MID($E14,4,3),'Wochentag F(WT)'!$B$7:$J$22,V$9,0),4)</f>
        <v>1</v>
      </c>
      <c r="W14" s="281">
        <f>ROUND(VLOOKUP(MID($E14,4,3),'Wochentag F(WT)'!$B$7:$J$22,W$9,0),4)</f>
        <v>1</v>
      </c>
      <c r="X14" s="282">
        <f t="shared" si="2"/>
        <v>1</v>
      </c>
      <c r="Y14" s="303"/>
      <c r="Z14" s="212"/>
    </row>
    <row r="15" spans="2:26" s="143" customFormat="1">
      <c r="B15" s="144">
        <v>4</v>
      </c>
      <c r="C15" s="145" t="str">
        <f t="shared" si="0"/>
        <v>Görlitz</v>
      </c>
      <c r="D15" s="62" t="s">
        <v>248</v>
      </c>
      <c r="E15" s="165" t="s">
        <v>661</v>
      </c>
      <c r="F15" s="307" t="str">
        <f>VLOOKUP($E15,'BDEW-Standard'!$B$3:$M$94,F$9,0)</f>
        <v>MK4</v>
      </c>
      <c r="H15" s="278">
        <f>ROUND(VLOOKUP($E15,'BDEW-Standard'!$B$3:$M$94,H$9,0),7)</f>
        <v>3.1177248</v>
      </c>
      <c r="I15" s="278">
        <f>ROUND(VLOOKUP($E15,'BDEW-Standard'!$B$3:$M$94,I$9,0),7)</f>
        <v>-35.871506199999999</v>
      </c>
      <c r="J15" s="278">
        <f>ROUND(VLOOKUP($E15,'BDEW-Standard'!$B$3:$M$94,J$9,0),7)</f>
        <v>7.5186828999999999</v>
      </c>
      <c r="K15" s="278">
        <f>ROUND(VLOOKUP($E15,'BDEW-Standard'!$B$3:$M$94,K$9,0),7)</f>
        <v>3.4330100000000002E-2</v>
      </c>
      <c r="L15" s="279">
        <f>ROUND(VLOOKUP($E15,'BDEW-Standard'!$B$3:$M$94,L$9,0),1)</f>
        <v>40</v>
      </c>
      <c r="M15" s="278">
        <f>ROUND(VLOOKUP($E15,'BDEW-Standard'!$B$3:$M$94,M$9,0),7)</f>
        <v>0</v>
      </c>
      <c r="N15" s="278">
        <f>ROUND(VLOOKUP($E15,'BDEW-Standard'!$B$3:$M$94,N$9,0),7)</f>
        <v>0</v>
      </c>
      <c r="O15" s="278">
        <f>ROUND(VLOOKUP($E15,'BDEW-Standard'!$B$3:$M$94,O$9,0),7)</f>
        <v>0</v>
      </c>
      <c r="P15" s="278">
        <f>ROUND(VLOOKUP($E15,'BDEW-Standard'!$B$3:$M$94,P$9,0),7)</f>
        <v>0</v>
      </c>
      <c r="Q15" s="280">
        <f t="shared" si="1"/>
        <v>0.9622064996731321</v>
      </c>
      <c r="R15" s="281">
        <f>ROUND(VLOOKUP(MID($E15,4,3),'Wochentag F(WT)'!$B$7:$J$22,R$9,0),4)</f>
        <v>1.0699000000000001</v>
      </c>
      <c r="S15" s="281">
        <f>ROUND(VLOOKUP(MID($E15,4,3),'Wochentag F(WT)'!$B$7:$J$22,S$9,0),4)</f>
        <v>1.0365</v>
      </c>
      <c r="T15" s="281">
        <f>ROUND(VLOOKUP(MID($E15,4,3),'Wochentag F(WT)'!$B$7:$J$22,T$9,0),4)</f>
        <v>0.99329999999999996</v>
      </c>
      <c r="U15" s="281">
        <f>ROUND(VLOOKUP(MID($E15,4,3),'Wochentag F(WT)'!$B$7:$J$22,U$9,0),4)</f>
        <v>0.99480000000000002</v>
      </c>
      <c r="V15" s="281">
        <f>ROUND(VLOOKUP(MID($E15,4,3),'Wochentag F(WT)'!$B$7:$J$22,V$9,0),4)</f>
        <v>1.0659000000000001</v>
      </c>
      <c r="W15" s="281">
        <f>ROUND(VLOOKUP(MID($E15,4,3),'Wochentag F(WT)'!$B$7:$J$22,W$9,0),4)</f>
        <v>0.93620000000000003</v>
      </c>
      <c r="X15" s="282">
        <f t="shared" si="2"/>
        <v>0.90339999999999954</v>
      </c>
      <c r="Y15" s="303"/>
      <c r="Z15" s="212"/>
    </row>
    <row r="16" spans="2:26" s="143" customFormat="1">
      <c r="B16" s="144">
        <v>5</v>
      </c>
      <c r="C16" s="145" t="str">
        <f t="shared" si="0"/>
        <v>Görlitz</v>
      </c>
      <c r="D16" s="62" t="s">
        <v>248</v>
      </c>
      <c r="E16" s="165" t="s">
        <v>662</v>
      </c>
      <c r="F16" s="307" t="str">
        <f>VLOOKUP($E16,'BDEW-Standard'!$B$3:$M$94,F$9,0)</f>
        <v>HA4</v>
      </c>
      <c r="H16" s="278">
        <f>ROUND(VLOOKUP($E16,'BDEW-Standard'!$B$3:$M$94,H$9,0),7)</f>
        <v>4.0196902000000003</v>
      </c>
      <c r="I16" s="278">
        <f>ROUND(VLOOKUP($E16,'BDEW-Standard'!$B$3:$M$94,I$9,0),7)</f>
        <v>-37.828203700000003</v>
      </c>
      <c r="J16" s="278">
        <f>ROUND(VLOOKUP($E16,'BDEW-Standard'!$B$3:$M$94,J$9,0),7)</f>
        <v>8.1593368999999996</v>
      </c>
      <c r="K16" s="278">
        <f>ROUND(VLOOKUP($E16,'BDEW-Standard'!$B$3:$M$94,K$9,0),7)</f>
        <v>4.72845E-2</v>
      </c>
      <c r="L16" s="279">
        <f>ROUND(VLOOKUP($E16,'BDEW-Standard'!$B$3:$M$94,L$9,0),1)</f>
        <v>40</v>
      </c>
      <c r="M16" s="278">
        <f>ROUND(VLOOKUP($E16,'BDEW-Standard'!$B$3:$M$94,M$9,0),7)</f>
        <v>0</v>
      </c>
      <c r="N16" s="278">
        <f>ROUND(VLOOKUP($E16,'BDEW-Standard'!$B$3:$M$94,N$9,0),7)</f>
        <v>0</v>
      </c>
      <c r="O16" s="278">
        <f>ROUND(VLOOKUP($E16,'BDEW-Standard'!$B$3:$M$94,O$9,0),7)</f>
        <v>0</v>
      </c>
      <c r="P16" s="278">
        <f>ROUND(VLOOKUP($E16,'BDEW-Standard'!$B$3:$M$94,P$9,0),7)</f>
        <v>0</v>
      </c>
      <c r="Q16" s="280">
        <f t="shared" si="1"/>
        <v>0.86486713303260787</v>
      </c>
      <c r="R16" s="281">
        <f>ROUND(VLOOKUP(MID($E16,4,3),'Wochentag F(WT)'!$B$7:$J$22,R$9,0),4)</f>
        <v>1.0358000000000001</v>
      </c>
      <c r="S16" s="281">
        <f>ROUND(VLOOKUP(MID($E16,4,3),'Wochentag F(WT)'!$B$7:$J$22,S$9,0),4)</f>
        <v>1.0232000000000001</v>
      </c>
      <c r="T16" s="281">
        <f>ROUND(VLOOKUP(MID($E16,4,3),'Wochentag F(WT)'!$B$7:$J$22,T$9,0),4)</f>
        <v>1.0251999999999999</v>
      </c>
      <c r="U16" s="281">
        <f>ROUND(VLOOKUP(MID($E16,4,3),'Wochentag F(WT)'!$B$7:$J$22,U$9,0),4)</f>
        <v>1.0295000000000001</v>
      </c>
      <c r="V16" s="281">
        <f>ROUND(VLOOKUP(MID($E16,4,3),'Wochentag F(WT)'!$B$7:$J$22,V$9,0),4)</f>
        <v>1.0253000000000001</v>
      </c>
      <c r="W16" s="281">
        <f>ROUND(VLOOKUP(MID($E16,4,3),'Wochentag F(WT)'!$B$7:$J$22,W$9,0),4)</f>
        <v>0.96750000000000003</v>
      </c>
      <c r="X16" s="282">
        <f t="shared" si="2"/>
        <v>0.89350000000000041</v>
      </c>
      <c r="Y16" s="303"/>
      <c r="Z16" s="212"/>
    </row>
    <row r="17" spans="2:26" s="143" customFormat="1">
      <c r="B17" s="144">
        <v>6</v>
      </c>
      <c r="C17" s="145" t="str">
        <f t="shared" si="0"/>
        <v>Görlitz</v>
      </c>
      <c r="D17" s="62" t="s">
        <v>248</v>
      </c>
      <c r="E17" s="165" t="s">
        <v>663</v>
      </c>
      <c r="F17" s="307" t="str">
        <f>VLOOKUP($E17,'BDEW-Standard'!$B$3:$M$94,F$9,0)</f>
        <v>KO4</v>
      </c>
      <c r="H17" s="278">
        <f>ROUND(VLOOKUP($E17,'BDEW-Standard'!$B$3:$M$94,H$9,0),7)</f>
        <v>3.4428942999999999</v>
      </c>
      <c r="I17" s="278">
        <f>ROUND(VLOOKUP($E17,'BDEW-Standard'!$B$3:$M$94,I$9,0),7)</f>
        <v>-36.659050399999998</v>
      </c>
      <c r="J17" s="278">
        <f>ROUND(VLOOKUP($E17,'BDEW-Standard'!$B$3:$M$94,J$9,0),7)</f>
        <v>7.6083226000000002</v>
      </c>
      <c r="K17" s="278">
        <f>ROUND(VLOOKUP($E17,'BDEW-Standard'!$B$3:$M$94,K$9,0),7)</f>
        <v>7.4685000000000001E-2</v>
      </c>
      <c r="L17" s="279">
        <f>ROUND(VLOOKUP($E17,'BDEW-Standard'!$B$3:$M$94,L$9,0),1)</f>
        <v>40</v>
      </c>
      <c r="M17" s="278">
        <f>ROUND(VLOOKUP($E17,'BDEW-Standard'!$B$3:$M$94,M$9,0),7)</f>
        <v>0</v>
      </c>
      <c r="N17" s="278">
        <f>ROUND(VLOOKUP($E17,'BDEW-Standard'!$B$3:$M$94,N$9,0),7)</f>
        <v>0</v>
      </c>
      <c r="O17" s="278">
        <f>ROUND(VLOOKUP($E17,'BDEW-Standard'!$B$3:$M$94,O$9,0),7)</f>
        <v>0</v>
      </c>
      <c r="P17" s="278">
        <f>ROUND(VLOOKUP($E17,'BDEW-Standard'!$B$3:$M$94,P$9,0),7)</f>
        <v>0</v>
      </c>
      <c r="Q17" s="280">
        <f t="shared" si="1"/>
        <v>0.97768382110526542</v>
      </c>
      <c r="R17" s="281">
        <f>ROUND(VLOOKUP(MID($E17,4,3),'Wochentag F(WT)'!$B$7:$J$22,R$9,0),4)</f>
        <v>1.0354000000000001</v>
      </c>
      <c r="S17" s="281">
        <f>ROUND(VLOOKUP(MID($E17,4,3),'Wochentag F(WT)'!$B$7:$J$22,S$9,0),4)</f>
        <v>1.0523</v>
      </c>
      <c r="T17" s="281">
        <f>ROUND(VLOOKUP(MID($E17,4,3),'Wochentag F(WT)'!$B$7:$J$22,T$9,0),4)</f>
        <v>1.0448999999999999</v>
      </c>
      <c r="U17" s="281">
        <f>ROUND(VLOOKUP(MID($E17,4,3),'Wochentag F(WT)'!$B$7:$J$22,U$9,0),4)</f>
        <v>1.0494000000000001</v>
      </c>
      <c r="V17" s="281">
        <f>ROUND(VLOOKUP(MID($E17,4,3),'Wochentag F(WT)'!$B$7:$J$22,V$9,0),4)</f>
        <v>0.98850000000000005</v>
      </c>
      <c r="W17" s="281">
        <f>ROUND(VLOOKUP(MID($E17,4,3),'Wochentag F(WT)'!$B$7:$J$22,W$9,0),4)</f>
        <v>0.88600000000000001</v>
      </c>
      <c r="X17" s="282">
        <f t="shared" si="2"/>
        <v>0.94349999999999934</v>
      </c>
      <c r="Y17" s="303"/>
      <c r="Z17" s="212"/>
    </row>
    <row r="18" spans="2:26" s="143" customFormat="1">
      <c r="B18" s="144">
        <v>7</v>
      </c>
      <c r="C18" s="145" t="str">
        <f t="shared" si="0"/>
        <v>Görlitz</v>
      </c>
      <c r="D18" s="62"/>
      <c r="E18" s="165"/>
      <c r="F18" s="307"/>
      <c r="H18" s="278"/>
      <c r="I18" s="278"/>
      <c r="J18" s="278"/>
      <c r="K18" s="278"/>
      <c r="L18" s="279"/>
      <c r="M18" s="278"/>
      <c r="N18" s="278"/>
      <c r="O18" s="278"/>
      <c r="P18" s="278"/>
      <c r="Q18" s="280"/>
      <c r="R18" s="281"/>
      <c r="S18" s="281"/>
      <c r="T18" s="281"/>
      <c r="U18" s="281"/>
      <c r="V18" s="281"/>
      <c r="W18" s="281"/>
      <c r="X18" s="282"/>
      <c r="Y18" s="303"/>
      <c r="Z18" s="212"/>
    </row>
    <row r="19" spans="2:26" s="143" customFormat="1">
      <c r="B19" s="144">
        <v>8</v>
      </c>
      <c r="C19" s="145" t="str">
        <f t="shared" si="0"/>
        <v>Görlitz</v>
      </c>
      <c r="D19" s="62"/>
      <c r="E19" s="165"/>
      <c r="F19" s="307"/>
      <c r="H19" s="278"/>
      <c r="I19" s="278"/>
      <c r="J19" s="278"/>
      <c r="K19" s="278"/>
      <c r="L19" s="279"/>
      <c r="M19" s="278"/>
      <c r="N19" s="278"/>
      <c r="O19" s="278"/>
      <c r="P19" s="278"/>
      <c r="Q19" s="280"/>
      <c r="R19" s="281"/>
      <c r="S19" s="281"/>
      <c r="T19" s="281"/>
      <c r="U19" s="281"/>
      <c r="V19" s="281"/>
      <c r="W19" s="281"/>
      <c r="X19" s="282"/>
      <c r="Y19" s="303"/>
      <c r="Z19" s="212"/>
    </row>
    <row r="20" spans="2:26" s="143" customFormat="1">
      <c r="B20" s="144">
        <v>9</v>
      </c>
      <c r="C20" s="145" t="str">
        <f t="shared" si="0"/>
        <v>Görlitz</v>
      </c>
      <c r="D20" s="62"/>
      <c r="E20" s="165"/>
      <c r="F20" s="307"/>
      <c r="H20" s="278"/>
      <c r="I20" s="278"/>
      <c r="J20" s="278"/>
      <c r="K20" s="278"/>
      <c r="L20" s="279"/>
      <c r="M20" s="278"/>
      <c r="N20" s="278"/>
      <c r="O20" s="278"/>
      <c r="P20" s="278"/>
      <c r="Q20" s="280"/>
      <c r="R20" s="281"/>
      <c r="S20" s="281"/>
      <c r="T20" s="281"/>
      <c r="U20" s="281"/>
      <c r="V20" s="281"/>
      <c r="W20" s="281"/>
      <c r="X20" s="282"/>
      <c r="Y20" s="303"/>
      <c r="Z20" s="212"/>
    </row>
    <row r="21" spans="2:26" s="143" customFormat="1">
      <c r="B21" s="144">
        <v>10</v>
      </c>
      <c r="C21" s="145" t="str">
        <f t="shared" si="0"/>
        <v>Görlitz</v>
      </c>
      <c r="D21" s="62"/>
      <c r="E21" s="165"/>
      <c r="F21" s="307"/>
      <c r="H21" s="278"/>
      <c r="I21" s="278"/>
      <c r="J21" s="278"/>
      <c r="K21" s="278"/>
      <c r="L21" s="279"/>
      <c r="M21" s="278"/>
      <c r="N21" s="278"/>
      <c r="O21" s="278"/>
      <c r="P21" s="278"/>
      <c r="Q21" s="280"/>
      <c r="R21" s="281"/>
      <c r="S21" s="281"/>
      <c r="T21" s="281"/>
      <c r="U21" s="281"/>
      <c r="V21" s="281"/>
      <c r="W21" s="281"/>
      <c r="X21" s="282"/>
      <c r="Y21" s="303"/>
      <c r="Z21" s="212"/>
    </row>
    <row r="22" spans="2:26" s="143" customFormat="1">
      <c r="B22" s="144">
        <v>11</v>
      </c>
      <c r="C22" s="145" t="str">
        <f t="shared" si="0"/>
        <v>Görlitz</v>
      </c>
      <c r="D22" s="62"/>
      <c r="E22" s="165"/>
      <c r="F22" s="307"/>
      <c r="H22" s="278"/>
      <c r="I22" s="278"/>
      <c r="J22" s="278"/>
      <c r="K22" s="278"/>
      <c r="L22" s="279"/>
      <c r="M22" s="278"/>
      <c r="N22" s="278"/>
      <c r="O22" s="278"/>
      <c r="P22" s="278"/>
      <c r="Q22" s="280"/>
      <c r="R22" s="281"/>
      <c r="S22" s="281"/>
      <c r="T22" s="281"/>
      <c r="U22" s="281"/>
      <c r="V22" s="281"/>
      <c r="W22" s="281"/>
      <c r="X22" s="282"/>
      <c r="Y22" s="303"/>
      <c r="Z22" s="212"/>
    </row>
    <row r="23" spans="2:26" s="143" customFormat="1">
      <c r="B23" s="144">
        <v>12</v>
      </c>
      <c r="C23" s="145" t="str">
        <f t="shared" si="0"/>
        <v>Görlitz</v>
      </c>
      <c r="D23" s="62"/>
      <c r="E23" s="165"/>
      <c r="F23" s="307"/>
      <c r="H23" s="278"/>
      <c r="I23" s="278"/>
      <c r="J23" s="278"/>
      <c r="K23" s="278"/>
      <c r="L23" s="279"/>
      <c r="M23" s="278"/>
      <c r="N23" s="278"/>
      <c r="O23" s="278"/>
      <c r="P23" s="278"/>
      <c r="Q23" s="280"/>
      <c r="R23" s="281"/>
      <c r="S23" s="281"/>
      <c r="T23" s="281"/>
      <c r="U23" s="281"/>
      <c r="V23" s="281"/>
      <c r="W23" s="281"/>
      <c r="X23" s="282"/>
      <c r="Y23" s="303"/>
      <c r="Z23" s="212"/>
    </row>
    <row r="24" spans="2:26" s="143" customFormat="1">
      <c r="B24" s="144">
        <v>13</v>
      </c>
      <c r="C24" s="145" t="str">
        <f t="shared" si="0"/>
        <v>Görlitz</v>
      </c>
      <c r="D24" s="62"/>
      <c r="E24" s="165"/>
      <c r="F24" s="307"/>
      <c r="H24" s="278"/>
      <c r="I24" s="278"/>
      <c r="J24" s="278"/>
      <c r="K24" s="278"/>
      <c r="L24" s="279"/>
      <c r="M24" s="278"/>
      <c r="N24" s="278"/>
      <c r="O24" s="278"/>
      <c r="P24" s="278"/>
      <c r="Q24" s="280"/>
      <c r="R24" s="281"/>
      <c r="S24" s="281"/>
      <c r="T24" s="281"/>
      <c r="U24" s="281"/>
      <c r="V24" s="281"/>
      <c r="W24" s="281"/>
      <c r="X24" s="282"/>
      <c r="Y24" s="303"/>
      <c r="Z24" s="212"/>
    </row>
    <row r="25" spans="2:26" s="143" customFormat="1">
      <c r="B25" s="144">
        <v>14</v>
      </c>
      <c r="C25" s="145" t="str">
        <f t="shared" si="0"/>
        <v>Görlitz</v>
      </c>
      <c r="D25" s="62"/>
      <c r="E25" s="165"/>
      <c r="F25" s="307"/>
      <c r="H25" s="278"/>
      <c r="I25" s="278"/>
      <c r="J25" s="278"/>
      <c r="K25" s="278"/>
      <c r="L25" s="279"/>
      <c r="M25" s="278"/>
      <c r="N25" s="278"/>
      <c r="O25" s="278"/>
      <c r="P25" s="278"/>
      <c r="Q25" s="280"/>
      <c r="R25" s="281"/>
      <c r="S25" s="281"/>
      <c r="T25" s="281"/>
      <c r="U25" s="281"/>
      <c r="V25" s="281"/>
      <c r="W25" s="281"/>
      <c r="X25" s="282"/>
      <c r="Y25" s="303"/>
      <c r="Z25" s="212"/>
    </row>
    <row r="26" spans="2:26" s="143" customFormat="1">
      <c r="B26" s="144">
        <v>15</v>
      </c>
      <c r="C26" s="145" t="str">
        <f t="shared" si="0"/>
        <v>Görlitz</v>
      </c>
      <c r="D26" s="62"/>
      <c r="E26" s="165"/>
      <c r="F26" s="307"/>
      <c r="H26" s="278"/>
      <c r="I26" s="278"/>
      <c r="J26" s="278"/>
      <c r="K26" s="278"/>
      <c r="L26" s="279"/>
      <c r="M26" s="278"/>
      <c r="N26" s="278"/>
      <c r="O26" s="278"/>
      <c r="P26" s="278"/>
      <c r="Q26" s="280"/>
      <c r="R26" s="281"/>
      <c r="S26" s="281"/>
      <c r="T26" s="281"/>
      <c r="U26" s="281"/>
      <c r="V26" s="281"/>
      <c r="W26" s="281"/>
      <c r="X26" s="282"/>
      <c r="Y26" s="303"/>
      <c r="Z26" s="212"/>
    </row>
    <row r="27" spans="2:26" s="143" customFormat="1">
      <c r="B27" s="144">
        <v>16</v>
      </c>
      <c r="C27" s="145" t="str">
        <f t="shared" si="0"/>
        <v>Görlitz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Görlitz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Görlitz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Görlitz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Görlitz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Görlitz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Görlitz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Görlitz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Görlitz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Görlitz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Görlitz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Görlitz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Görlitz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Görlitz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Görlitz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11">
      <formula>ISERROR(F11)</formula>
    </cfRule>
  </conditionalFormatting>
  <conditionalFormatting sqref="E12:F41 Y12:Y41">
    <cfRule type="duplicateValues" dxfId="9" priority="33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4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7109375" style="128" customWidth="1"/>
    <col min="5" max="9" width="16" style="128" customWidth="1"/>
    <col min="10" max="10" width="15.28515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344</v>
      </c>
      <c r="B1" s="216">
        <v>42173</v>
      </c>
      <c r="D1" s="131" t="s">
        <v>451</v>
      </c>
      <c r="F1" s="217" t="s">
        <v>545</v>
      </c>
      <c r="N1" s="218"/>
    </row>
    <row r="2" spans="1:14" ht="25.5">
      <c r="A2" s="219" t="s">
        <v>268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314</v>
      </c>
      <c r="D95" s="235" t="s">
        <v>269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319</v>
      </c>
      <c r="D96" s="235" t="s">
        <v>269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324</v>
      </c>
      <c r="D97" s="235" t="s">
        <v>269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329</v>
      </c>
      <c r="D98" s="235" t="s">
        <v>269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282</v>
      </c>
      <c r="D99" s="235" t="s">
        <v>269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286</v>
      </c>
      <c r="D100" s="235" t="s">
        <v>269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290</v>
      </c>
      <c r="D101" s="235" t="s">
        <v>269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294</v>
      </c>
      <c r="D102" s="235" t="s">
        <v>269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298</v>
      </c>
      <c r="D103" s="235" t="s">
        <v>269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302</v>
      </c>
      <c r="D104" s="235" t="s">
        <v>269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306</v>
      </c>
      <c r="D105" s="235" t="s">
        <v>269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310</v>
      </c>
      <c r="D106" s="235" t="s">
        <v>269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315</v>
      </c>
      <c r="D107" s="235" t="s">
        <v>269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320</v>
      </c>
      <c r="D108" s="235" t="s">
        <v>269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325</v>
      </c>
      <c r="D109" s="235" t="s">
        <v>269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330</v>
      </c>
      <c r="D110" s="235" t="s">
        <v>269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270</v>
      </c>
      <c r="D111" s="235" t="s">
        <v>269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271</v>
      </c>
      <c r="D112" s="235" t="s">
        <v>269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272</v>
      </c>
      <c r="D113" s="235" t="s">
        <v>269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273</v>
      </c>
      <c r="D114" s="235" t="s">
        <v>269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283</v>
      </c>
      <c r="D115" s="235" t="s">
        <v>269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287</v>
      </c>
      <c r="D116" s="235" t="s">
        <v>269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291</v>
      </c>
      <c r="D117" s="235" t="s">
        <v>269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295</v>
      </c>
      <c r="D118" s="235" t="s">
        <v>269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274</v>
      </c>
      <c r="D119" s="235" t="s">
        <v>269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276</v>
      </c>
      <c r="D120" s="235" t="s">
        <v>269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278</v>
      </c>
      <c r="D121" s="235" t="s">
        <v>269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280</v>
      </c>
      <c r="D122" s="235" t="s">
        <v>269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316</v>
      </c>
      <c r="D123" s="235" t="s">
        <v>269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321</v>
      </c>
      <c r="D124" s="235" t="s">
        <v>269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326</v>
      </c>
      <c r="D125" s="235" t="s">
        <v>269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331</v>
      </c>
      <c r="D126" s="235" t="s">
        <v>269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284</v>
      </c>
      <c r="D127" s="235" t="s">
        <v>269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288</v>
      </c>
      <c r="D128" s="235" t="s">
        <v>269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292</v>
      </c>
      <c r="D129" s="235" t="s">
        <v>269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296</v>
      </c>
      <c r="D130" s="235" t="s">
        <v>269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285</v>
      </c>
      <c r="D131" s="235" t="s">
        <v>269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289</v>
      </c>
      <c r="D132" s="235" t="s">
        <v>269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293</v>
      </c>
      <c r="D133" s="235" t="s">
        <v>269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297</v>
      </c>
      <c r="D134" s="235" t="s">
        <v>269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299</v>
      </c>
      <c r="D135" s="235" t="s">
        <v>269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303</v>
      </c>
      <c r="D136" s="235" t="s">
        <v>269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307</v>
      </c>
      <c r="D137" s="235" t="s">
        <v>269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311</v>
      </c>
      <c r="D138" s="235" t="s">
        <v>269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300</v>
      </c>
      <c r="D139" s="235" t="s">
        <v>269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304</v>
      </c>
      <c r="D140" s="235" t="s">
        <v>269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308</v>
      </c>
      <c r="D141" s="235" t="s">
        <v>269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312</v>
      </c>
      <c r="D142" s="235" t="s">
        <v>269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275</v>
      </c>
      <c r="D143" s="235" t="s">
        <v>269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277</v>
      </c>
      <c r="D144" s="235" t="s">
        <v>269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279</v>
      </c>
      <c r="D145" s="235" t="s">
        <v>269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281</v>
      </c>
      <c r="D146" s="235" t="s">
        <v>269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301</v>
      </c>
      <c r="D147" s="235" t="s">
        <v>269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305</v>
      </c>
      <c r="D148" s="235" t="s">
        <v>269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309</v>
      </c>
      <c r="D149" s="235" t="s">
        <v>269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313</v>
      </c>
      <c r="D150" s="235" t="s">
        <v>269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317</v>
      </c>
      <c r="D151" s="235" t="s">
        <v>269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322</v>
      </c>
      <c r="D152" s="235" t="s">
        <v>269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327</v>
      </c>
      <c r="D153" s="235" t="s">
        <v>269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332</v>
      </c>
      <c r="D154" s="235" t="s">
        <v>269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318</v>
      </c>
      <c r="D155" s="235" t="s">
        <v>269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323</v>
      </c>
      <c r="D156" s="235" t="s">
        <v>269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328</v>
      </c>
      <c r="D157" s="235" t="s">
        <v>269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333</v>
      </c>
      <c r="D158" s="235" t="s">
        <v>269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tabSelected="1" zoomScale="80" zoomScaleNormal="80" workbookViewId="0">
      <selection activeCell="C6" sqref="C6"/>
    </sheetView>
  </sheetViews>
  <sheetFormatPr baseColWidth="10" defaultColWidth="0" defaultRowHeight="12.75" zeroHeight="1"/>
  <cols>
    <col min="1" max="1" width="2.7109375" style="75" customWidth="1"/>
    <col min="2" max="2" width="15.28515625" style="75" customWidth="1"/>
    <col min="3" max="3" width="17.7109375" style="75" customWidth="1"/>
    <col min="4" max="4" width="5.7109375" style="75" hidden="1" customWidth="1"/>
    <col min="5" max="5" width="5.28515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443</v>
      </c>
    </row>
    <row r="3" spans="2:30" ht="15" customHeight="1">
      <c r="B3" s="84"/>
    </row>
    <row r="4" spans="2:30" ht="15" customHeight="1">
      <c r="B4" s="85" t="s">
        <v>442</v>
      </c>
      <c r="C4" s="63" t="str">
        <f>Netzbetreiber!$D$9</f>
        <v>Gasversorgung Görlitz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441</v>
      </c>
      <c r="C5" s="64" t="str">
        <f>Netzbetreiber!D28</f>
        <v>Görlitz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439</v>
      </c>
      <c r="C6" s="355">
        <f>Netzbetreiber!$D$11</f>
        <v>9870020700000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42370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9" t="s">
        <v>455</v>
      </c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1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464</v>
      </c>
      <c r="N9" s="91" t="s">
        <v>369</v>
      </c>
      <c r="O9" s="92" t="s">
        <v>370</v>
      </c>
      <c r="P9" s="92" t="s">
        <v>371</v>
      </c>
      <c r="Q9" s="92" t="s">
        <v>372</v>
      </c>
      <c r="R9" s="92" t="s">
        <v>373</v>
      </c>
      <c r="S9" s="92" t="s">
        <v>374</v>
      </c>
      <c r="T9" s="92" t="s">
        <v>375</v>
      </c>
      <c r="U9" s="92" t="s">
        <v>376</v>
      </c>
      <c r="V9" s="92" t="s">
        <v>377</v>
      </c>
      <c r="W9" s="92" t="s">
        <v>378</v>
      </c>
      <c r="X9" s="92" t="s">
        <v>379</v>
      </c>
      <c r="Y9" s="92" t="s">
        <v>380</v>
      </c>
      <c r="Z9" s="92" t="s">
        <v>381</v>
      </c>
      <c r="AA9" s="92" t="s">
        <v>382</v>
      </c>
      <c r="AB9" s="92" t="s">
        <v>383</v>
      </c>
      <c r="AC9" s="93" t="s">
        <v>384</v>
      </c>
      <c r="AD9" s="93" t="s">
        <v>426</v>
      </c>
    </row>
    <row r="10" spans="2:30" ht="72" customHeight="1" thickBot="1">
      <c r="B10" s="364" t="s">
        <v>583</v>
      </c>
      <c r="C10" s="365"/>
      <c r="D10" s="94">
        <v>2</v>
      </c>
      <c r="E10" s="95" t="str">
        <f>IF(ISERROR(HLOOKUP(E$11,$M$9:$AD$35,$D10,0)),"",HLOOKUP(E$11,$M$9:$AD$35,$D10,0))</f>
        <v/>
      </c>
      <c r="F10" s="362" t="s">
        <v>395</v>
      </c>
      <c r="G10" s="362"/>
      <c r="H10" s="362"/>
      <c r="I10" s="362"/>
      <c r="J10" s="362"/>
      <c r="K10" s="362"/>
      <c r="L10" s="363"/>
      <c r="M10" s="96" t="s">
        <v>465</v>
      </c>
      <c r="N10" s="97" t="s">
        <v>466</v>
      </c>
      <c r="O10" s="98" t="s">
        <v>467</v>
      </c>
      <c r="P10" s="99" t="s">
        <v>468</v>
      </c>
      <c r="Q10" s="99" t="s">
        <v>469</v>
      </c>
      <c r="R10" s="99" t="s">
        <v>470</v>
      </c>
      <c r="S10" s="99" t="s">
        <v>471</v>
      </c>
      <c r="T10" s="99" t="s">
        <v>472</v>
      </c>
      <c r="U10" s="99" t="s">
        <v>473</v>
      </c>
      <c r="V10" s="99" t="s">
        <v>474</v>
      </c>
      <c r="W10" s="99" t="s">
        <v>475</v>
      </c>
      <c r="X10" s="99" t="s">
        <v>476</v>
      </c>
      <c r="Y10" s="99" t="s">
        <v>477</v>
      </c>
      <c r="Z10" s="99" t="s">
        <v>478</v>
      </c>
      <c r="AA10" s="99" t="s">
        <v>479</v>
      </c>
      <c r="AB10" s="99" t="s">
        <v>480</v>
      </c>
      <c r="AC10" s="100" t="s">
        <v>481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386</v>
      </c>
      <c r="G11" s="107" t="s">
        <v>387</v>
      </c>
      <c r="H11" s="107" t="s">
        <v>388</v>
      </c>
      <c r="I11" s="107" t="s">
        <v>389</v>
      </c>
      <c r="J11" s="107" t="s">
        <v>390</v>
      </c>
      <c r="K11" s="107" t="s">
        <v>391</v>
      </c>
      <c r="L11" s="108" t="s">
        <v>392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396</v>
      </c>
      <c r="C12" s="110"/>
      <c r="D12" s="111">
        <v>4</v>
      </c>
      <c r="E12" s="314">
        <f>MIN(SUMPRODUCT($M$11:$AD$11,M12:AD12),1)</f>
        <v>1</v>
      </c>
      <c r="F12" s="311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79" t="s">
        <v>392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397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392</v>
      </c>
      <c r="G13" s="80" t="s">
        <v>392</v>
      </c>
      <c r="H13" s="80" t="s">
        <v>392</v>
      </c>
      <c r="I13" s="80" t="s">
        <v>392</v>
      </c>
      <c r="J13" s="80" t="s">
        <v>392</v>
      </c>
      <c r="K13" s="80" t="s">
        <v>392</v>
      </c>
      <c r="L13" s="81" t="s">
        <v>392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398</v>
      </c>
      <c r="C14" s="117"/>
      <c r="D14" s="111">
        <v>6</v>
      </c>
      <c r="E14" s="315">
        <f t="shared" si="0"/>
        <v>0</v>
      </c>
      <c r="F14" s="312" t="s">
        <v>392</v>
      </c>
      <c r="G14" s="80" t="s">
        <v>399</v>
      </c>
      <c r="H14" s="80" t="s">
        <v>399</v>
      </c>
      <c r="I14" s="80" t="s">
        <v>399</v>
      </c>
      <c r="J14" s="80" t="s">
        <v>399</v>
      </c>
      <c r="K14" s="80" t="s">
        <v>399</v>
      </c>
      <c r="L14" s="81" t="s">
        <v>399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400</v>
      </c>
      <c r="C15" s="117"/>
      <c r="D15" s="111">
        <v>7</v>
      </c>
      <c r="E15" s="315">
        <f t="shared" si="0"/>
        <v>0</v>
      </c>
      <c r="F15" s="312" t="s">
        <v>399</v>
      </c>
      <c r="G15" s="80" t="s">
        <v>391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1" t="s">
        <v>399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412</v>
      </c>
      <c r="C16" s="117"/>
      <c r="D16" s="111">
        <v>8</v>
      </c>
      <c r="E16" s="315">
        <f t="shared" si="0"/>
        <v>1</v>
      </c>
      <c r="F16" s="312" t="s">
        <v>399</v>
      </c>
      <c r="G16" s="80" t="s">
        <v>399</v>
      </c>
      <c r="H16" s="80" t="s">
        <v>399</v>
      </c>
      <c r="I16" s="80" t="s">
        <v>399</v>
      </c>
      <c r="J16" s="80" t="s">
        <v>392</v>
      </c>
      <c r="K16" s="80" t="s">
        <v>399</v>
      </c>
      <c r="L16" s="81" t="s">
        <v>399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413</v>
      </c>
      <c r="C17" s="117"/>
      <c r="D17" s="111">
        <v>9</v>
      </c>
      <c r="E17" s="315">
        <f t="shared" si="0"/>
        <v>1</v>
      </c>
      <c r="F17" s="312" t="s">
        <v>399</v>
      </c>
      <c r="G17" s="80" t="s">
        <v>399</v>
      </c>
      <c r="H17" s="80" t="s">
        <v>399</v>
      </c>
      <c r="I17" s="80" t="s">
        <v>399</v>
      </c>
      <c r="J17" s="80" t="s">
        <v>399</v>
      </c>
      <c r="K17" s="80" t="s">
        <v>399</v>
      </c>
      <c r="L17" s="81" t="s">
        <v>392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414</v>
      </c>
      <c r="C18" s="117"/>
      <c r="D18" s="111">
        <v>10</v>
      </c>
      <c r="E18" s="315">
        <f t="shared" si="0"/>
        <v>1</v>
      </c>
      <c r="F18" s="312" t="s">
        <v>392</v>
      </c>
      <c r="G18" s="80" t="s">
        <v>399</v>
      </c>
      <c r="H18" s="80" t="s">
        <v>399</v>
      </c>
      <c r="I18" s="80" t="s">
        <v>399</v>
      </c>
      <c r="J18" s="80" t="s">
        <v>399</v>
      </c>
      <c r="K18" s="80" t="s">
        <v>399</v>
      </c>
      <c r="L18" s="81" t="s">
        <v>399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651</v>
      </c>
      <c r="C19" s="340"/>
      <c r="D19" s="111"/>
      <c r="E19" s="315">
        <v>1</v>
      </c>
      <c r="F19" s="312" t="s">
        <v>392</v>
      </c>
      <c r="G19" s="80" t="s">
        <v>392</v>
      </c>
      <c r="H19" s="80" t="s">
        <v>392</v>
      </c>
      <c r="I19" s="80" t="s">
        <v>392</v>
      </c>
      <c r="J19" s="80" t="s">
        <v>392</v>
      </c>
      <c r="K19" s="80" t="s">
        <v>392</v>
      </c>
      <c r="L19" s="81" t="s">
        <v>392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401</v>
      </c>
      <c r="C20" s="117"/>
      <c r="D20" s="111">
        <v>11</v>
      </c>
      <c r="E20" s="315">
        <f t="shared" si="0"/>
        <v>1</v>
      </c>
      <c r="F20" s="312" t="s">
        <v>392</v>
      </c>
      <c r="G20" s="80" t="s">
        <v>392</v>
      </c>
      <c r="H20" s="80" t="s">
        <v>392</v>
      </c>
      <c r="I20" s="80" t="s">
        <v>392</v>
      </c>
      <c r="J20" s="80" t="s">
        <v>392</v>
      </c>
      <c r="K20" s="80" t="s">
        <v>392</v>
      </c>
      <c r="L20" s="81" t="s">
        <v>392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649</v>
      </c>
      <c r="C21" s="117"/>
      <c r="D21" s="111">
        <v>12</v>
      </c>
      <c r="E21" s="315">
        <f t="shared" si="0"/>
        <v>1</v>
      </c>
      <c r="F21" s="312" t="s">
        <v>399</v>
      </c>
      <c r="G21" s="80" t="s">
        <v>399</v>
      </c>
      <c r="H21" s="80" t="s">
        <v>399</v>
      </c>
      <c r="I21" s="80" t="s">
        <v>392</v>
      </c>
      <c r="J21" s="80" t="s">
        <v>399</v>
      </c>
      <c r="K21" s="80" t="s">
        <v>399</v>
      </c>
      <c r="L21" s="81" t="s">
        <v>399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415</v>
      </c>
      <c r="C22" s="117"/>
      <c r="D22" s="111">
        <v>13</v>
      </c>
      <c r="E22" s="315">
        <f t="shared" si="0"/>
        <v>1</v>
      </c>
      <c r="F22" s="312" t="s">
        <v>399</v>
      </c>
      <c r="G22" s="80" t="s">
        <v>399</v>
      </c>
      <c r="H22" s="80" t="s">
        <v>399</v>
      </c>
      <c r="I22" s="80" t="s">
        <v>399</v>
      </c>
      <c r="J22" s="80" t="s">
        <v>399</v>
      </c>
      <c r="K22" s="80" t="s">
        <v>399</v>
      </c>
      <c r="L22" s="81" t="s">
        <v>392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416</v>
      </c>
      <c r="C23" s="117"/>
      <c r="D23" s="111">
        <v>14</v>
      </c>
      <c r="E23" s="315">
        <f t="shared" si="0"/>
        <v>1</v>
      </c>
      <c r="F23" s="312" t="s">
        <v>392</v>
      </c>
      <c r="G23" s="80" t="s">
        <v>399</v>
      </c>
      <c r="H23" s="80" t="s">
        <v>399</v>
      </c>
      <c r="I23" s="80" t="s">
        <v>399</v>
      </c>
      <c r="J23" s="80" t="s">
        <v>399</v>
      </c>
      <c r="K23" s="80" t="s">
        <v>399</v>
      </c>
      <c r="L23" s="81" t="s">
        <v>399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417</v>
      </c>
      <c r="C24" s="117"/>
      <c r="D24" s="111">
        <v>15</v>
      </c>
      <c r="E24" s="315">
        <f t="shared" si="0"/>
        <v>0</v>
      </c>
      <c r="F24" s="312" t="s">
        <v>399</v>
      </c>
      <c r="G24" s="80" t="s">
        <v>399</v>
      </c>
      <c r="H24" s="80" t="s">
        <v>399</v>
      </c>
      <c r="I24" s="80" t="s">
        <v>392</v>
      </c>
      <c r="J24" s="80" t="s">
        <v>399</v>
      </c>
      <c r="K24" s="80" t="s">
        <v>399</v>
      </c>
      <c r="L24" s="81" t="s">
        <v>399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402</v>
      </c>
      <c r="C25" s="117"/>
      <c r="D25" s="111">
        <v>16</v>
      </c>
      <c r="E25" s="315">
        <f t="shared" si="0"/>
        <v>0</v>
      </c>
      <c r="F25" s="312" t="s">
        <v>392</v>
      </c>
      <c r="G25" s="80" t="s">
        <v>392</v>
      </c>
      <c r="H25" s="80" t="s">
        <v>392</v>
      </c>
      <c r="I25" s="80" t="s">
        <v>392</v>
      </c>
      <c r="J25" s="80" t="s">
        <v>392</v>
      </c>
      <c r="K25" s="80" t="s">
        <v>392</v>
      </c>
      <c r="L25" s="81" t="s">
        <v>392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403</v>
      </c>
      <c r="C26" s="117"/>
      <c r="D26" s="111">
        <v>17</v>
      </c>
      <c r="E26" s="315">
        <f t="shared" si="0"/>
        <v>0</v>
      </c>
      <c r="F26" s="312" t="s">
        <v>392</v>
      </c>
      <c r="G26" s="80" t="s">
        <v>392</v>
      </c>
      <c r="H26" s="80" t="s">
        <v>392</v>
      </c>
      <c r="I26" s="80" t="s">
        <v>392</v>
      </c>
      <c r="J26" s="80" t="s">
        <v>392</v>
      </c>
      <c r="K26" s="80" t="s">
        <v>392</v>
      </c>
      <c r="L26" s="81" t="s">
        <v>392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650</v>
      </c>
      <c r="C27" s="340"/>
      <c r="D27" s="111"/>
      <c r="E27" s="315">
        <v>1</v>
      </c>
      <c r="F27" s="312" t="s">
        <v>392</v>
      </c>
      <c r="G27" s="80" t="s">
        <v>392</v>
      </c>
      <c r="H27" s="80" t="s">
        <v>392</v>
      </c>
      <c r="I27" s="80" t="s">
        <v>392</v>
      </c>
      <c r="J27" s="80" t="s">
        <v>392</v>
      </c>
      <c r="K27" s="80" t="s">
        <v>392</v>
      </c>
      <c r="L27" s="81" t="s">
        <v>392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404</v>
      </c>
      <c r="C28" s="117"/>
      <c r="D28" s="111">
        <v>18</v>
      </c>
      <c r="E28" s="315">
        <f t="shared" si="0"/>
        <v>1</v>
      </c>
      <c r="F28" s="312" t="s">
        <v>392</v>
      </c>
      <c r="G28" s="80" t="s">
        <v>392</v>
      </c>
      <c r="H28" s="80" t="s">
        <v>392</v>
      </c>
      <c r="I28" s="80" t="s">
        <v>392</v>
      </c>
      <c r="J28" s="80" t="s">
        <v>392</v>
      </c>
      <c r="K28" s="80" t="s">
        <v>392</v>
      </c>
      <c r="L28" s="81" t="s">
        <v>392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405</v>
      </c>
      <c r="C29" s="340"/>
      <c r="D29" s="341">
        <v>19</v>
      </c>
      <c r="E29" s="342">
        <v>1</v>
      </c>
      <c r="F29" s="312" t="s">
        <v>392</v>
      </c>
      <c r="G29" s="312" t="s">
        <v>392</v>
      </c>
      <c r="H29" s="312" t="s">
        <v>392</v>
      </c>
      <c r="I29" s="312" t="s">
        <v>392</v>
      </c>
      <c r="J29" s="312" t="s">
        <v>392</v>
      </c>
      <c r="K29" s="312" t="s">
        <v>392</v>
      </c>
      <c r="L29" s="312" t="s">
        <v>392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406</v>
      </c>
      <c r="C30" s="117"/>
      <c r="D30" s="111">
        <v>20</v>
      </c>
      <c r="E30" s="315">
        <f t="shared" si="0"/>
        <v>0</v>
      </c>
      <c r="F30" s="312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392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407</v>
      </c>
      <c r="C31" s="117"/>
      <c r="D31" s="111">
        <v>21</v>
      </c>
      <c r="E31" s="315">
        <f t="shared" si="0"/>
        <v>0</v>
      </c>
      <c r="F31" s="312" t="s">
        <v>399</v>
      </c>
      <c r="G31" s="80" t="s">
        <v>399</v>
      </c>
      <c r="H31" s="80" t="s">
        <v>392</v>
      </c>
      <c r="I31" s="80" t="s">
        <v>399</v>
      </c>
      <c r="J31" s="80" t="s">
        <v>399</v>
      </c>
      <c r="K31" s="80" t="s">
        <v>399</v>
      </c>
      <c r="L31" s="81" t="s">
        <v>399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408</v>
      </c>
      <c r="C32" s="117"/>
      <c r="D32" s="111">
        <v>22</v>
      </c>
      <c r="E32" s="315">
        <f t="shared" si="0"/>
        <v>0</v>
      </c>
      <c r="F32" s="312" t="s">
        <v>391</v>
      </c>
      <c r="G32" s="80" t="s">
        <v>391</v>
      </c>
      <c r="H32" s="80" t="s">
        <v>391</v>
      </c>
      <c r="I32" s="80" t="s">
        <v>391</v>
      </c>
      <c r="J32" s="80" t="s">
        <v>391</v>
      </c>
      <c r="K32" s="80" t="s">
        <v>391</v>
      </c>
      <c r="L32" s="81" t="s">
        <v>392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409</v>
      </c>
      <c r="C33" s="117"/>
      <c r="D33" s="111">
        <v>23</v>
      </c>
      <c r="E33" s="315">
        <f t="shared" si="0"/>
        <v>1</v>
      </c>
      <c r="F33" s="312" t="s">
        <v>392</v>
      </c>
      <c r="G33" s="80" t="s">
        <v>392</v>
      </c>
      <c r="H33" s="80" t="s">
        <v>392</v>
      </c>
      <c r="I33" s="80" t="s">
        <v>392</v>
      </c>
      <c r="J33" s="80" t="s">
        <v>392</v>
      </c>
      <c r="K33" s="80" t="s">
        <v>392</v>
      </c>
      <c r="L33" s="81" t="s">
        <v>392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410</v>
      </c>
      <c r="C34" s="117"/>
      <c r="D34" s="111">
        <v>24</v>
      </c>
      <c r="E34" s="315">
        <f t="shared" si="0"/>
        <v>1</v>
      </c>
      <c r="F34" s="312" t="s">
        <v>392</v>
      </c>
      <c r="G34" s="80" t="s">
        <v>392</v>
      </c>
      <c r="H34" s="80" t="s">
        <v>392</v>
      </c>
      <c r="I34" s="80" t="s">
        <v>392</v>
      </c>
      <c r="J34" s="80" t="s">
        <v>392</v>
      </c>
      <c r="K34" s="80" t="s">
        <v>392</v>
      </c>
      <c r="L34" s="81" t="s">
        <v>392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411</v>
      </c>
      <c r="C35" s="123"/>
      <c r="D35" s="124">
        <v>25</v>
      </c>
      <c r="E35" s="316">
        <f t="shared" si="0"/>
        <v>0</v>
      </c>
      <c r="F35" s="313" t="s">
        <v>391</v>
      </c>
      <c r="G35" s="82" t="s">
        <v>391</v>
      </c>
      <c r="H35" s="82" t="s">
        <v>391</v>
      </c>
      <c r="I35" s="82" t="s">
        <v>391</v>
      </c>
      <c r="J35" s="82" t="s">
        <v>391</v>
      </c>
      <c r="K35" s="82" t="s">
        <v>391</v>
      </c>
      <c r="L35" s="83" t="s">
        <v>392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71093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452</v>
      </c>
      <c r="B1" s="128"/>
      <c r="D1" s="217" t="s">
        <v>545</v>
      </c>
    </row>
    <row r="2" spans="1:16">
      <c r="A2" s="237"/>
      <c r="B2" s="236" t="s">
        <v>453</v>
      </c>
    </row>
    <row r="3" spans="1:16" ht="20.100000000000001" customHeight="1">
      <c r="A3" s="366" t="s">
        <v>249</v>
      </c>
      <c r="B3" s="238" t="s">
        <v>86</v>
      </c>
      <c r="C3" s="239"/>
      <c r="D3" s="368" t="s">
        <v>454</v>
      </c>
      <c r="E3" s="369"/>
      <c r="F3" s="369"/>
      <c r="G3" s="369"/>
      <c r="H3" s="369"/>
      <c r="I3" s="369"/>
      <c r="J3" s="370"/>
      <c r="K3" s="240"/>
      <c r="L3" s="240"/>
      <c r="M3" s="240"/>
      <c r="N3" s="240"/>
      <c r="O3" s="241"/>
      <c r="P3" s="240"/>
    </row>
    <row r="4" spans="1:16" ht="20.100000000000001" customHeight="1">
      <c r="A4" s="367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365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365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Scharf, Kordula</cp:lastModifiedBy>
  <cp:lastPrinted>2015-03-20T22:59:10Z</cp:lastPrinted>
  <dcterms:created xsi:type="dcterms:W3CDTF">2015-01-15T05:25:41Z</dcterms:created>
  <dcterms:modified xsi:type="dcterms:W3CDTF">2022-05-02T10:29:25Z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