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DieseArbeitsmappe" defaultThemeVersion="124226"/>
  <bookViews>
    <workbookView xWindow="120" yWindow="495" windowWidth="18915" windowHeight="11685" tabRatio="789" activeTab="1"/>
  </bookViews>
  <sheets>
    <sheet name="Info" sheetId="1" r:id="rId1"/>
    <sheet name="Netzbetreiber" sheetId="2" r:id="rId2"/>
    <sheet name="SLP-Verfahren" sheetId="3" r:id="rId3"/>
    <sheet name="SLP-Temp-Gebiet #01" sheetId="4" r:id="rId4"/>
    <sheet name="SLP-Temp-Gebiet #02" sheetId="5" state="hidden" r:id="rId5"/>
    <sheet name="SLP-Profile" sheetId="6" r:id="rId6"/>
    <sheet name="SLP-Feiertage" sheetId="7" r:id="rId7"/>
    <sheet name="BDEW-Standard" sheetId="8" state="hidden" r:id="rId8"/>
    <sheet name="Wochentag F(WT)" sheetId="9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Z_B21C4DD6_E4A6_4129_BC39_0646DAE2627C_.wvu.Cols" localSheetId="0" hidden="1">Info!$P:$XFD</definedName>
    <definedName name="Z_B21C4DD6_E4A6_4129_BC39_0646DAE2627C_.wvu.Cols" localSheetId="1" hidden="1">Netzbetreiber!$F:$XFD</definedName>
    <definedName name="Z_B21C4DD6_E4A6_4129_BC39_0646DAE2627C_.wvu.Cols" localSheetId="6" hidden="1">'SLP-Feiertage'!$D:$D,'SLP-Feiertage'!$AF:$XFD</definedName>
    <definedName name="Z_B21C4DD6_E4A6_4129_BC39_0646DAE2627C_.wvu.Cols" localSheetId="5" hidden="1">'SLP-Profile'!$G:$G,'SLP-Profile'!$AA:$XFD</definedName>
    <definedName name="Z_B21C4DD6_E4A6_4129_BC39_0646DAE2627C_.wvu.Cols" localSheetId="3" hidden="1">'SLP-Temp-Gebiet #01'!$Q:$XFD</definedName>
    <definedName name="Z_B21C4DD6_E4A6_4129_BC39_0646DAE2627C_.wvu.Cols" localSheetId="4" hidden="1">'SLP-Temp-Gebiet #02'!$Q:$XFD</definedName>
    <definedName name="Z_B21C4DD6_E4A6_4129_BC39_0646DAE2627C_.wvu.Cols" localSheetId="2" hidden="1">'SLP-Verfahren'!$F:$XFD</definedName>
    <definedName name="Z_B21C4DD6_E4A6_4129_BC39_0646DAE2627C_.wvu.FilterData" localSheetId="7" hidden="1">'BDEW-Standard'!$A$2:$M$158</definedName>
    <definedName name="Z_B21C4DD6_E4A6_4129_BC39_0646DAE2627C_.wvu.PrintArea" localSheetId="8" hidden="1">'Wochentag F(WT)'!$A$1:$P$22</definedName>
    <definedName name="Z_B21C4DD6_E4A6_4129_BC39_0646DAE2627C_.wvu.Rows" localSheetId="0" hidden="1">Info!$38:$1048576,Info!$33:$37</definedName>
    <definedName name="Z_B21C4DD6_E4A6_4129_BC39_0646DAE2627C_.wvu.Rows" localSheetId="1" hidden="1">Netzbetreiber!$51:$1048576</definedName>
    <definedName name="Z_B21C4DD6_E4A6_4129_BC39_0646DAE2627C_.wvu.Rows" localSheetId="6" hidden="1">'SLP-Feiertage'!$36:$1048576</definedName>
    <definedName name="Z_B21C4DD6_E4A6_4129_BC39_0646DAE2627C_.wvu.Rows" localSheetId="5" hidden="1">'SLP-Profile'!$60:$1048576</definedName>
    <definedName name="Z_B21C4DD6_E4A6_4129_BC39_0646DAE2627C_.wvu.Rows" localSheetId="3" hidden="1">'SLP-Temp-Gebiet #01'!$79:$1048576,'SLP-Temp-Gebiet #01'!$74:$77</definedName>
    <definedName name="Z_B21C4DD6_E4A6_4129_BC39_0646DAE2627C_.wvu.Rows" localSheetId="4" hidden="1">'SLP-Temp-Gebiet #02'!$79:$1048576,'SLP-Temp-Gebiet #02'!$74:$77</definedName>
  </definedNames>
  <calcPr calcId="125725"/>
  <customWorkbookViews>
    <customWorkbookView name="admin - Persönliche Ansicht" guid="{B21C4DD6-E4A6-4129-BC39-0646DAE2627C}" mergeInterval="0" personalView="1" xWindow="14" yWindow="62" windowWidth="1249" windowHeight="744" tabRatio="789" activeSheetId="2"/>
  </customWorkbookViews>
</workbook>
</file>

<file path=xl/calcChain.xml><?xml version="1.0" encoding="utf-8"?>
<calcChain xmlns="http://schemas.openxmlformats.org/spreadsheetml/2006/main">
  <c r="M12" i="6"/>
  <c r="N12"/>
  <c r="O12"/>
  <c r="P12"/>
  <c r="M13"/>
  <c r="N13"/>
  <c r="O13"/>
  <c r="P13"/>
  <c r="P17"/>
  <c r="O17"/>
  <c r="N17"/>
  <c r="M17"/>
  <c r="L17"/>
  <c r="K17"/>
  <c r="J17"/>
  <c r="I17"/>
  <c r="H17"/>
  <c r="F17"/>
  <c r="P16"/>
  <c r="O16"/>
  <c r="N16"/>
  <c r="M16"/>
  <c r="L16"/>
  <c r="K16"/>
  <c r="J16"/>
  <c r="I16"/>
  <c r="H16"/>
  <c r="F16"/>
  <c r="P15"/>
  <c r="O15"/>
  <c r="N15"/>
  <c r="M15"/>
  <c r="L15"/>
  <c r="K15"/>
  <c r="J15"/>
  <c r="I15"/>
  <c r="H15"/>
  <c r="F15"/>
  <c r="P14"/>
  <c r="O14"/>
  <c r="N14"/>
  <c r="M14"/>
  <c r="L14"/>
  <c r="K14"/>
  <c r="J14"/>
  <c r="I14"/>
  <c r="H14"/>
  <c r="F14"/>
  <c r="E7" i="5" l="1"/>
  <c r="E6"/>
  <c r="E4"/>
  <c r="E7" i="4"/>
  <c r="E6"/>
  <c r="E4"/>
  <c r="C33" i="3" l="1"/>
  <c r="C32"/>
  <c r="C29"/>
  <c r="C28"/>
  <c r="N70" i="5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M63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I53" l="1"/>
  <c r="N53"/>
  <c r="E53"/>
  <c r="J53"/>
  <c r="F63"/>
  <c r="K63"/>
  <c r="D22"/>
  <c r="G53"/>
  <c r="D56" s="1"/>
  <c r="J55" s="1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3"/>
  <c r="C23"/>
  <c r="E31" i="5" l="1"/>
  <c r="D66"/>
  <c r="K65" s="1"/>
  <c r="L65"/>
  <c r="M65"/>
  <c r="K55"/>
  <c r="G55"/>
  <c r="L55"/>
  <c r="F55"/>
  <c r="H55"/>
  <c r="M55"/>
  <c r="E21"/>
  <c r="N55"/>
  <c r="I55"/>
  <c r="F69" i="4"/>
  <c r="G69"/>
  <c r="H69"/>
  <c r="I69"/>
  <c r="J69"/>
  <c r="K69"/>
  <c r="L69"/>
  <c r="M69"/>
  <c r="N69"/>
  <c r="E69"/>
  <c r="I65" i="5" l="1"/>
  <c r="N65"/>
  <c r="H65"/>
  <c r="G65"/>
  <c r="E55"/>
  <c r="F65"/>
  <c r="E65" s="1"/>
  <c r="J65"/>
  <c r="F11" i="4"/>
  <c r="I47" i="3"/>
  <c r="J47"/>
  <c r="K47"/>
  <c r="L47"/>
  <c r="M47"/>
  <c r="N47"/>
  <c r="O47"/>
  <c r="P47"/>
  <c r="Q47"/>
  <c r="R47"/>
  <c r="S47"/>
  <c r="T47"/>
  <c r="U47"/>
  <c r="V47"/>
  <c r="H47"/>
  <c r="F52" i="4"/>
  <c r="G56"/>
  <c r="H56"/>
  <c r="W11" i="6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S12"/>
  <c r="T12"/>
  <c r="U12"/>
  <c r="V12"/>
  <c r="W12"/>
  <c r="R12"/>
  <c r="X12" l="1"/>
  <c r="X13"/>
  <c r="X11"/>
  <c r="X16"/>
  <c r="X15"/>
  <c r="X17"/>
  <c r="X14"/>
  <c r="G57" i="4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7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2" l="1"/>
  <c r="C7" i="7"/>
  <c r="J8" i="6"/>
  <c r="D8"/>
  <c r="D8" i="3"/>
  <c r="E5" i="5" l="1"/>
  <c r="C5" i="7"/>
  <c r="E5" i="4"/>
  <c r="C4" i="7"/>
  <c r="C6"/>
  <c r="D5" i="6"/>
  <c r="D7"/>
  <c r="D7" i="3"/>
  <c r="D5"/>
  <c r="E10" i="7"/>
  <c r="C20" i="3" l="1"/>
  <c r="C19"/>
  <c r="M9" i="9" l="1"/>
  <c r="A93" i="8" l="1"/>
  <c r="B93" s="1"/>
  <c r="A94"/>
  <c r="C94" s="1"/>
  <c r="A4"/>
  <c r="B4" s="1"/>
  <c r="A5"/>
  <c r="B5" s="1"/>
  <c r="A6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9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3" i="8" l="1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9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6" l="1"/>
  <c r="L11"/>
  <c r="H11"/>
  <c r="P11"/>
  <c r="M11"/>
  <c r="O11"/>
  <c r="J11"/>
  <c r="K11"/>
  <c r="I11"/>
  <c r="F11"/>
  <c r="M8" i="9"/>
  <c r="M7"/>
  <c r="D6" i="3"/>
  <c r="D6" i="6"/>
  <c r="Q13" l="1"/>
  <c r="Q15"/>
  <c r="Q11"/>
  <c r="Q12"/>
  <c r="Q16"/>
  <c r="Q14"/>
  <c r="Q17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<sst xmlns="http://schemas.openxmlformats.org/spreadsheetml/2006/main" count="1362" uniqueCount="677">
  <si>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</si>
  <si>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</si>
  <si>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</si>
  <si>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</si>
  <si>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</si>
  <si>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</si>
  <si>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</si>
  <si>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</si>
  <si>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</si>
  <si>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</si>
  <si>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</si>
  <si>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</si>
  <si>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</si>
  <si>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</si>
  <si>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</si>
  <si>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</si>
  <si>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</si>
  <si>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</si>
  <si>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</si>
  <si>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</si>
  <si>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</si>
  <si>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</si>
  <si>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</si>
  <si>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</si>
  <si>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</si>
  <si>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</si>
  <si>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</si>
  <si>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</si>
  <si>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</si>
  <si>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</si>
  <si>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</si>
  <si>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</si>
  <si>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</si>
  <si>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</si>
  <si>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</si>
  <si>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</si>
  <si>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</si>
  <si>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</si>
  <si>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</si>
  <si>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</si>
  <si>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</si>
  <si>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</si>
  <si>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</si>
  <si>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</si>
  <si>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</si>
  <si>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</si>
  <si>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</si>
  <si>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</si>
  <si>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</si>
  <si>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</si>
  <si>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</si>
  <si>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</si>
  <si>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</si>
  <si>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</si>
  <si>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</si>
  <si>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</si>
  <si>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</si>
  <si>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</si>
  <si>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</si>
  <si>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</si>
  <si>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</si>
  <si>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</si>
  <si>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</si>
  <si>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</si>
  <si>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</si>
  <si>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</si>
  <si>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</si>
  <si>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</si>
  <si>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</si>
  <si>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</si>
  <si>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</si>
  <si>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</si>
  <si>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</si>
  <si>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</si>
  <si>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</si>
  <si>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</si>
  <si>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</si>
  <si>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</si>
  <si>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</si>
  <si>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</si>
  <si>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</si>
  <si>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</si>
  <si>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</si>
  <si>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</si>
  <si>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</si>
  <si>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</si>
  <si>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</si>
  <si>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</si>
  <si>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</si>
  <si>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</si>
  <si>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</si>
  <si>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</si>
  <si>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</si>
  <si>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</si>
  <si>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</si>
  <si>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</si>
  <si>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</si>
  <si>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</si>
  <si>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</si>
  <si>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</si>
  <si>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</si>
  <si>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</si>
  <si>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</si>
  <si>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</si>
  <si>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</si>
  <si>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</si>
  <si>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</si>
  <si>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</si>
  <si>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</si>
  <si>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</si>
  <si>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</si>
  <si>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</si>
  <si>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</si>
  <si>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</si>
  <si>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</si>
  <si>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</si>
  <si>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</si>
  <si>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</si>
  <si>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</si>
  <si>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</si>
  <si>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</si>
  <si>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</si>
  <si>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</si>
  <si>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</si>
  <si>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</si>
  <si>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</si>
  <si>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</si>
  <si>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</si>
  <si>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</si>
  <si>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</si>
  <si>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</si>
  <si>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</si>
  <si>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</si>
  <si>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</si>
  <si>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</si>
  <si>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</si>
  <si>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</si>
  <si>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</si>
  <si>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</si>
  <si>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</si>
  <si>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</si>
  <si>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</si>
  <si>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</si>
  <si>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</si>
  <si>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</si>
  <si>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</si>
  <si>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</si>
  <si>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</si>
  <si>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</si>
  <si>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</si>
  <si>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</si>
  <si>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</si>
  <si>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</si>
  <si>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</si>
  <si>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</si>
  <si>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</si>
  <si>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</si>
  <si>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</si>
  <si>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</si>
  <si>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</si>
  <si>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</si>
  <si>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</si>
  <si>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</si>
  <si>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</si>
  <si>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</si>
  <si>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</si>
  <si>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</si>
  <si>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</si>
  <si>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</si>
  <si>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</si>
  <si>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</si>
  <si>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</si>
  <si>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</si>
  <si>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</si>
  <si>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</si>
  <si>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</si>
  <si>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</si>
  <si>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</si>
  <si>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</si>
  <si>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</si>
  <si>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</si>
  <si>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</si>
  <si>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</si>
  <si>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</si>
  <si>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</si>
  <si>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</si>
  <si>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</si>
  <si>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</si>
  <si>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</si>
  <si>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</si>
  <si>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</si>
  <si>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</si>
  <si>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</si>
  <si>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</si>
  <si>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</si>
  <si>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</si>
  <si>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</si>
  <si>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</si>
  <si>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</si>
  <si>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</si>
  <si>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</si>
  <si>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</si>
  <si>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</si>
  <si>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</si>
  <si>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</si>
  <si>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</si>
  <si>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</si>
  <si>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</si>
  <si>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</si>
  <si>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</si>
  <si>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</si>
  <si>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</si>
  <si>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</si>
  <si>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</si>
  <si>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</si>
  <si>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</si>
  <si>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</si>
  <si>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</si>
  <si>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</si>
  <si>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</si>
  <si>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</si>
  <si>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</si>
  <si>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</si>
  <si>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</si>
  <si>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</si>
  <si>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</si>
  <si>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</si>
  <si>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</si>
  <si>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</si>
  <si>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</si>
  <si>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</si>
  <si>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</si>
  <si>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</si>
  <si>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</si>
  <si>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</si>
  <si>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</si>
  <si>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</si>
  <si>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</si>
  <si>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</si>
  <si>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</si>
  <si>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</si>
  <si>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</si>
  <si>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</si>
  <si>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</si>
  <si>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</si>
  <si>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</si>
  <si>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</si>
  <si>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</si>
  <si>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</si>
  <si>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</si>
  <si>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</si>
  <si>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</si>
  <si>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</si>
  <si>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</si>
  <si>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</si>
  <si>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</si>
  <si>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</si>
  <si>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</si>
  <si>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</si>
  <si>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</si>
  <si>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</si>
  <si>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</si>
  <si>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</si>
  <si>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</si>
  <si>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</si>
  <si>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</si>
  <si>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</si>
  <si>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</si>
  <si>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</si>
  <si>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</si>
  <si>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</si>
  <si>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</si>
  <si>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</si>
  <si>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</si>
  <si>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</si>
  <si>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</si>
  <si>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</si>
  <si>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</si>
  <si>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</si>
  <si>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</si>
  <si>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</si>
  <si>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</si>
  <si>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</si>
  <si>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</si>
  <si>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</si>
  <si>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</si>
  <si>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</si>
  <si>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</si>
  <si>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</si>
  <si>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</si>
  <si>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</si>
  <si>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</si>
  <si>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</si>
  <si>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</si>
  <si>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</si>
  <si>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</si>
  <si>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</si>
  <si>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</si>
  <si>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</si>
  <si>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</si>
  <si>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</si>
  <si>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</si>
  <si>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</si>
  <si>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</si>
  <si>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</si>
  <si>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</si>
  <si>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</si>
  <si>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</si>
  <si>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</si>
  <si>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</si>
  <si>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</si>
  <si>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</si>
  <si>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</si>
  <si>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</si>
  <si>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</si>
  <si>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</si>
  <si>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</si>
  <si>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</si>
  <si>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</si>
  <si>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</si>
  <si>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</si>
  <si>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</si>
  <si>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</si>
  <si>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</si>
  <si>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</si>
  <si>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</si>
  <si>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</si>
  <si>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</si>
  <si>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</si>
  <si>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</si>
  <si>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</si>
  <si>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</si>
  <si>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</si>
  <si>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</si>
  <si>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</si>
  <si>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</si>
  <si>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</si>
  <si>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</si>
  <si>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</si>
  <si>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</si>
  <si>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</si>
  <si>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</si>
  <si>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</si>
  <si>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</si>
  <si>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</si>
  <si>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</si>
  <si>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</si>
  <si>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</si>
  <si>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</si>
  <si>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</si>
  <si>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</si>
  <si>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</si>
  <si>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</si>
  <si>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</si>
  <si>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</si>
  <si>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</si>
  <si>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</si>
  <si>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</si>
  <si>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</si>
  <si>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</si>
  <si>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</si>
  <si>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</si>
  <si>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</si>
  <si>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</si>
  <si>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</si>
  <si>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</si>
  <si>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</si>
  <si>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</si>
  <si>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</si>
  <si>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</si>
  <si>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</si>
  <si>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</si>
  <si>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</si>
  <si>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</si>
  <si>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</si>
  <si>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</si>
  <si>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</si>
  <si>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</si>
  <si>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</si>
  <si>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</si>
  <si>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</si>
  <si>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</si>
  <si>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</si>
  <si>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</si>
  <si>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</si>
  <si>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</si>
  <si>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</si>
  <si>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</si>
  <si>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</si>
  <si>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</si>
  <si>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</si>
  <si>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</si>
  <si>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</si>
  <si>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</si>
  <si>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</si>
  <si>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</si>
  <si>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</si>
  <si>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</si>
  <si>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</si>
  <si>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</si>
  <si>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</si>
  <si>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</si>
  <si>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</si>
  <si>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</si>
  <si>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</si>
  <si>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</si>
  <si>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</si>
  <si>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</si>
  <si>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</si>
  <si>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</si>
  <si>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</si>
  <si>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</si>
  <si>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</si>
  <si>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</si>
  <si>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</si>
  <si>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</si>
  <si>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</si>
  <si>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</si>
  <si>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</si>
  <si>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</si>
  <si>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</si>
  <si>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</si>
  <si>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</si>
  <si>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</si>
  <si>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</si>
  <si>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</si>
  <si>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</si>
  <si>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</si>
  <si>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</si>
  <si>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</si>
  <si>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</si>
  <si>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</si>
  <si>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</si>
  <si>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</si>
  <si>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</si>
  <si>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</si>
  <si>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</si>
  <si>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</si>
  <si>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</si>
  <si>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</si>
  <si>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</si>
  <si>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</si>
  <si>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</si>
  <si>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</si>
  <si>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</si>
  <si>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</si>
  <si>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</si>
  <si>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</si>
  <si>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</si>
  <si>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</si>
  <si>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</si>
  <si>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</si>
  <si>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</si>
  <si>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</si>
  <si>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</si>
  <si>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</si>
  <si>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</si>
  <si>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</si>
  <si>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</si>
  <si>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</si>
  <si>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</si>
  <si>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</si>
  <si>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</si>
  <si>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</si>
  <si>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</si>
  <si>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</si>
  <si>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</si>
  <si>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</si>
  <si>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</si>
  <si>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</si>
  <si>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</si>
  <si>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</si>
  <si>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</si>
  <si>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</si>
  <si>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</si>
  <si>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</si>
  <si>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</si>
  <si>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</si>
  <si>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</si>
  <si>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</si>
  <si>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</si>
  <si>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</si>
  <si>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</si>
  <si>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</si>
  <si>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</si>
  <si>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</si>
  <si>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</si>
  <si>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</si>
  <si>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</si>
  <si>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</si>
  <si>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</si>
  <si>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</si>
  <si>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</si>
  <si>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</si>
  <si>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</si>
  <si>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</si>
  <si>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</si>
  <si>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</si>
  <si>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</si>
  <si>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</si>
  <si>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2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</si>
  <si>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</si>
  <si>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</si>
  <si>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</si>
  <si>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</si>
  <si>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</si>
  <si>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</si>
  <si>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</si>
  <si>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</si>
  <si>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</si>
  <si>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</si>
  <si>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</si>
  <si>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</si>
  <si>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</si>
  <si>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</si>
  <si>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</si>
  <si>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</si>
  <si>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</si>
  <si>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</si>
  <si>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</si>
  <si>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</si>
  <si>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</si>
  <si>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</si>
  <si>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</si>
  <si>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</si>
  <si>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</si>
  <si>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</si>
  <si>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</si>
  <si>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</si>
  <si>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</si>
  <si>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</si>
  <si>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</si>
  <si>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</si>
  <si>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</si>
  <si>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</si>
  <si>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</si>
  <si>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</si>
  <si>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</si>
  <si>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</si>
  <si>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</si>
  <si>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</si>
  <si>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</si>
  <si>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</si>
  <si>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</si>
  <si>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</si>
  <si>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</si>
  <si>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</si>
  <si>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</si>
  <si>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</si>
  <si>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</si>
  <si>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</si>
  <si>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</si>
  <si>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</si>
  <si>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</si>
  <si>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</si>
  <si>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</si>
  <si>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</si>
  <si>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</si>
  <si>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</si>
  <si>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</si>
  <si>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</si>
  <si>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</si>
  <si>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</si>
  <si>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</si>
  <si>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</si>
  <si>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</si>
  <si>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</si>
  <si>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</si>
  <si>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</si>
  <si>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</si>
  <si>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</si>
  <si>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</si>
  <si>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</si>
  <si>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</si>
  <si>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</si>
  <si>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</si>
  <si>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</si>
  <si>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</si>
  <si>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</si>
  <si>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</si>
  <si>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</si>
  <si>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</si>
  <si>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</si>
  <si>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</si>
  <si>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</si>
  <si>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</si>
  <si>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</si>
  <si>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</si>
  <si>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</si>
  <si>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</si>
  <si>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</si>
  <si>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</si>
  <si>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</si>
  <si>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</si>
  <si>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</si>
  <si>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</si>
  <si>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</si>
  <si>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</si>
  <si>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</si>
  <si>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</si>
  <si>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</si>
  <si>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</si>
  <si>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</si>
  <si>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</si>
  <si>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</si>
  <si>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</si>
  <si>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</si>
  <si>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</si>
  <si>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</si>
  <si>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</si>
  <si>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</si>
  <si>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</si>
  <si>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</si>
  <si>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</si>
  <si>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</si>
  <si>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</si>
  <si>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</si>
  <si>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</si>
  <si>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</si>
  <si>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</si>
  <si>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</si>
  <si>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</si>
  <si>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</si>
  <si>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</si>
  <si>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</si>
  <si>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</si>
  <si>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</si>
  <si>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</si>
  <si>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</si>
  <si>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</si>
  <si>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</si>
  <si>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</si>
  <si>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</si>
  <si>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</si>
  <si>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</si>
  <si>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</si>
  <si>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</si>
  <si>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</si>
  <si>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</si>
  <si>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</si>
  <si>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</si>
  <si>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</si>
  <si>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</si>
  <si>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</si>
  <si>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</si>
  <si>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</si>
  <si>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</si>
  <si>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</si>
  <si>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</si>
  <si>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</si>
  <si>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</si>
  <si>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</si>
  <si>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</si>
  <si>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</si>
  <si>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</si>
  <si>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</si>
  <si>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</si>
  <si>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</si>
  <si>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</si>
  <si>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Gasversorgung Görlitz GmbH</t>
  </si>
  <si>
    <t>Demianiplatz 24</t>
  </si>
  <si>
    <t>Görlitz</t>
  </si>
  <si>
    <t>Kordula Scharf</t>
  </si>
  <si>
    <t>03581 33 5416</t>
  </si>
  <si>
    <t>9870020700000</t>
  </si>
  <si>
    <t>netznutzung@stadtwerke-goerlitz.de</t>
  </si>
  <si>
    <t>GASPOOLNH7002071</t>
  </si>
  <si>
    <t>Meteomedia</t>
  </si>
  <si>
    <t>Görlitz Flugplatz</t>
  </si>
  <si>
    <t>Ind.-Koef.</t>
  </si>
  <si>
    <t>DE_GMK04</t>
  </si>
  <si>
    <t>DE_GHA04</t>
  </si>
  <si>
    <t>DE_GKO04</t>
  </si>
  <si>
    <t>GR1</t>
  </si>
  <si>
    <t>GR2</t>
  </si>
  <si>
    <t>DE_HEF04</t>
  </si>
  <si>
    <t>DE_HMF04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</si>
</sst>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arnender Text 2" xfId="108"/>
    <cellStyle name="Warnender Text 2 2" xfId="134"/>
    <cellStyle name="Whrung" xfId="107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ax.mustermann@muster.de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655</v>
      </c>
    </row>
    <row r="8" spans="2:7" s="8" customFormat="1">
      <c r="B8" s="8" t="s">
        <v>658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656</v>
      </c>
    </row>
    <row r="12" spans="2:7" s="8" customFormat="1">
      <c r="B12" s="8" t="s">
        <v>497</v>
      </c>
    </row>
    <row r="13" spans="2:7" s="8" customFormat="1">
      <c r="B13" s="8" t="s">
        <v>657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6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customSheetViews>
    <customSheetView guid="{B21C4DD6-E4A6-4129-BC39-0646DAE2627C}" scale="80" showGridLines="0" fitToPage="1" hiddenRows="1" hiddenColumns="1">
      <selection activeCell="C29" sqref="C29"/>
      <pageMargins left="0.7" right="0.7" top="0.78740157499999996" bottom="0.78740157499999996" header="0.3" footer="0.3"/>
      <pageSetup paperSize="9" scale="95" orientation="landscape" r:id="rId1"/>
    </customSheetView>
  </customSheetViews>
  <pageMargins left="0.7" right="0.7" top="0.78740157499999996" bottom="0.78740157499999996" header="0.3" footer="0.3"/>
  <pageSetup paperSize="9" scale="9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3" sqref="D3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40" t="s">
        <v>664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2826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Görlitz</v>
      </c>
      <c r="E28" s="38"/>
      <c r="F28" s="11"/>
      <c r="G28" s="2"/>
    </row>
    <row r="29" spans="1:15">
      <c r="B29" s="15"/>
      <c r="C29" s="22" t="s">
        <v>396</v>
      </c>
      <c r="D29" s="45" t="s">
        <v>661</v>
      </c>
      <c r="E29" s="40"/>
      <c r="F29" s="11"/>
      <c r="G29" s="2"/>
    </row>
    <row r="30" spans="1:15">
      <c r="B30" s="15"/>
      <c r="C30" s="22" t="s">
        <v>397</v>
      </c>
      <c r="D30" s="45" t="s">
        <v>500</v>
      </c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ustomSheetViews>
    <customSheetView guid="{B21C4DD6-E4A6-4129-BC39-0646DAE2627C}" scale="80" showGridLines="0" fitToPage="1" hiddenRows="1" hiddenColumns="1">
      <selection activeCell="D33" sqref="D33"/>
      <pageMargins left="0.7" right="0.7" top="0.78740157499999996" bottom="0.78740157499999996" header="0.3" footer="0.3"/>
      <pageSetup paperSize="9" scale="65" orientation="portrait" r:id="rId1"/>
    </customSheetView>
  </customSheetViews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disablePrompts="1"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2" display="max.mustermann@muster.de"/>
  </hyperlinks>
  <pageMargins left="0.7" right="0.7" top="0.78740157499999996" bottom="0.78740157499999996" header="0.3" footer="0.3"/>
  <pageSetup paperSize="9" scale="6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Gasversorgung Görlitz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Görlitz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7" t="str">
        <f>Netzbetreiber!$D$11</f>
        <v>9870020700000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0" t="s">
        <v>256</v>
      </c>
      <c r="I11" s="270" t="s">
        <v>259</v>
      </c>
      <c r="J11" s="270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613</v>
      </c>
      <c r="D13" s="33" t="s">
        <v>614</v>
      </c>
      <c r="E13" s="15"/>
      <c r="H13" s="270" t="s">
        <v>614</v>
      </c>
      <c r="I13" s="270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1" t="s">
        <v>666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572</v>
      </c>
      <c r="I19" s="269" t="s">
        <v>487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488</v>
      </c>
      <c r="I20" s="269" t="s">
        <v>489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611</v>
      </c>
      <c r="D22" s="49" t="s">
        <v>607</v>
      </c>
      <c r="E22" s="15"/>
      <c r="H22" s="266" t="s">
        <v>607</v>
      </c>
      <c r="I22" s="266" t="s">
        <v>608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6" t="s">
        <v>610</v>
      </c>
      <c r="I23" s="8" t="s">
        <v>606</v>
      </c>
      <c r="J23" s="8"/>
      <c r="K23" s="8"/>
      <c r="L23" s="267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6" t="s">
        <v>609</v>
      </c>
      <c r="I24" s="266" t="s">
        <v>616</v>
      </c>
      <c r="J24" s="8"/>
      <c r="K24" s="8"/>
      <c r="L24" s="269" t="s">
        <v>617</v>
      </c>
      <c r="M24" s="269" t="s">
        <v>619</v>
      </c>
      <c r="N24" s="269" t="s">
        <v>618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371</v>
      </c>
      <c r="C26" s="6" t="s">
        <v>575</v>
      </c>
      <c r="D26" s="42" t="s">
        <v>136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620</v>
      </c>
      <c r="D27" s="42" t="s">
        <v>621</v>
      </c>
      <c r="E27" s="15"/>
      <c r="H27" s="296" t="s">
        <v>621</v>
      </c>
      <c r="I27" s="268" t="s">
        <v>622</v>
      </c>
      <c r="J27" s="268" t="s">
        <v>623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624</v>
      </c>
      <c r="I28" s="269" t="s">
        <v>625</v>
      </c>
      <c r="J28" s="269" t="s">
        <v>626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627</v>
      </c>
      <c r="I29" s="269" t="s">
        <v>628</v>
      </c>
      <c r="J29" s="269" t="s">
        <v>629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492</v>
      </c>
      <c r="C31" s="6" t="s">
        <v>574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630</v>
      </c>
      <c r="I32" s="269" t="s">
        <v>631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632</v>
      </c>
      <c r="I33" s="266" t="s">
        <v>627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546</v>
      </c>
      <c r="C35" s="24" t="s">
        <v>494</v>
      </c>
      <c r="D35" s="42">
        <v>6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547</v>
      </c>
      <c r="C37" s="5" t="s">
        <v>366</v>
      </c>
      <c r="D37" s="34">
        <v>1500000</v>
      </c>
      <c r="E37" s="15" t="s">
        <v>504</v>
      </c>
      <c r="I37" s="266"/>
      <c r="J37" s="266"/>
      <c r="K37" s="266"/>
      <c r="L37" s="266"/>
      <c r="M37" s="267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367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661</v>
      </c>
    </row>
    <row r="49" spans="3:4" ht="18" customHeight="1">
      <c r="C49" s="22" t="s">
        <v>584</v>
      </c>
      <c r="D49" s="45" t="s">
        <v>600</v>
      </c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ustomSheetViews>
    <customSheetView guid="{B21C4DD6-E4A6-4129-BC39-0646DAE2627C}" scale="80" showGridLines="0" fitToPage="1" hiddenColumns="1">
      <selection activeCell="D36" sqref="D36"/>
      <pageMargins left="0.7" right="0.7" top="0.78740157499999996" bottom="0.78740157499999996" header="0.3" footer="0.3"/>
      <pageSetup paperSize="9" scale="71" orientation="portrait" r:id="rId1"/>
    </customSheetView>
  </customSheetViews>
  <conditionalFormatting sqref="D15">
    <cfRule type="expression" dxfId="54" priority="21">
      <formula>IF($D$11="Gaspool",1,0)</formula>
    </cfRule>
  </conditionalFormatting>
  <conditionalFormatting sqref="D16">
    <cfRule type="expression" dxfId="53" priority="18">
      <formula>IF($D$11="NCG",1,0)</formula>
    </cfRule>
  </conditionalFormatting>
  <conditionalFormatting sqref="D48:D62">
    <cfRule type="expression" dxfId="52" priority="17">
      <formula>IF(CELL("Zeile",D48)&lt;$D$46+CELL("Zeile",$D$48),1,0)</formula>
    </cfRule>
  </conditionalFormatting>
  <conditionalFormatting sqref="D49:D62">
    <cfRule type="expression" dxfId="51" priority="16">
      <formula>IF(CELL(D49)&lt;$D$36+27,1,0)</formula>
    </cfRule>
  </conditionalFormatting>
  <conditionalFormatting sqref="D23">
    <cfRule type="expression" dxfId="50" priority="15">
      <formula>IF($D$22=$H$22,1,0)</formula>
    </cfRule>
  </conditionalFormatting>
  <conditionalFormatting sqref="D31">
    <cfRule type="expression" dxfId="49" priority="4">
      <formula>IF($D$18="synthetisch",1,0)</formula>
    </cfRule>
  </conditionalFormatting>
  <conditionalFormatting sqref="D28">
    <cfRule type="expression" dxfId="48" priority="2">
      <formula>IF(AND($D$27=$I$27,$D$26=$H$26),1,0)</formula>
    </cfRule>
  </conditionalFormatting>
  <conditionalFormatting sqref="D26:D28">
    <cfRule type="expression" dxfId="47" priority="5">
      <formula>IF($D$18="analytisch",1,0)</formula>
    </cfRule>
  </conditionalFormatting>
  <conditionalFormatting sqref="D27">
    <cfRule type="expression" dxfId="4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4" zoomScaleNormal="100" workbookViewId="0">
      <selection activeCell="E26" sqref="E2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541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Netzbetreiber!D9</f>
        <v>Gasversorgung Görlitz GmbH</v>
      </c>
      <c r="F4" s="329"/>
      <c r="G4" s="3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Görlitz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Netzbetreiber!D11</f>
        <v>9870020700000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0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0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1" t="str">
        <f>INDEX('SLP-Verfahren'!D48:D62,'SLP-Temp-Gebiet #01'!F10)</f>
        <v>Görlitz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581</v>
      </c>
      <c r="D13" s="344"/>
      <c r="E13" s="344"/>
      <c r="F13" s="180" t="s">
        <v>545</v>
      </c>
      <c r="G13" s="129" t="s">
        <v>543</v>
      </c>
      <c r="H13" s="260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448</v>
      </c>
      <c r="D14" s="345"/>
      <c r="E14" s="89" t="s">
        <v>449</v>
      </c>
      <c r="F14" s="261" t="s">
        <v>85</v>
      </c>
      <c r="G14" s="262" t="s">
        <v>569</v>
      </c>
      <c r="H14" s="51">
        <v>0</v>
      </c>
      <c r="I14" s="57"/>
      <c r="J14" s="129"/>
      <c r="K14" s="129"/>
      <c r="L14" s="129"/>
      <c r="M14" s="129"/>
      <c r="N14" s="129"/>
      <c r="O14" s="330" t="s">
        <v>649</v>
      </c>
      <c r="R14" s="206" t="s">
        <v>561</v>
      </c>
      <c r="S14" s="206" t="s">
        <v>562</v>
      </c>
      <c r="T14" s="206" t="s">
        <v>563</v>
      </c>
      <c r="U14" s="206" t="s">
        <v>564</v>
      </c>
      <c r="V14" s="206" t="s">
        <v>544</v>
      </c>
      <c r="W14" s="206" t="s">
        <v>565</v>
      </c>
      <c r="X14" s="206" t="s">
        <v>566</v>
      </c>
      <c r="Y14" s="206" t="s">
        <v>567</v>
      </c>
      <c r="Z14" s="206" t="s">
        <v>568</v>
      </c>
      <c r="AA14" s="206" t="s">
        <v>569</v>
      </c>
      <c r="AB14" s="206" t="s">
        <v>570</v>
      </c>
      <c r="AC14" s="206" t="s">
        <v>571</v>
      </c>
    </row>
    <row r="15" spans="2:56" ht="19.5" customHeight="1">
      <c r="B15" s="129"/>
      <c r="C15" s="345" t="s">
        <v>388</v>
      </c>
      <c r="D15" s="345"/>
      <c r="E15" s="89" t="s">
        <v>449</v>
      </c>
      <c r="F15" s="261" t="s">
        <v>71</v>
      </c>
      <c r="G15" s="262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667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492</v>
      </c>
      <c r="AI15" s="259" t="s">
        <v>546</v>
      </c>
      <c r="AJ15" s="259" t="s">
        <v>547</v>
      </c>
      <c r="AK15" s="259" t="s">
        <v>548</v>
      </c>
      <c r="AL15" s="259" t="s">
        <v>549</v>
      </c>
      <c r="AM15" s="259" t="s">
        <v>550</v>
      </c>
      <c r="AN15" s="259" t="s">
        <v>551</v>
      </c>
      <c r="AO15" s="259" t="s">
        <v>552</v>
      </c>
      <c r="AP15" s="259" t="s">
        <v>553</v>
      </c>
      <c r="AQ15" s="259" t="s">
        <v>554</v>
      </c>
      <c r="AR15" s="259" t="s">
        <v>555</v>
      </c>
      <c r="AS15" s="259" t="s">
        <v>556</v>
      </c>
      <c r="AT15" s="259" t="s">
        <v>557</v>
      </c>
      <c r="AU15" s="259" t="s">
        <v>558</v>
      </c>
      <c r="AV15" s="259" t="s">
        <v>559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515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521</v>
      </c>
      <c r="D18" s="129"/>
      <c r="E18" s="129"/>
      <c r="F18" s="49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516</v>
      </c>
      <c r="D20" s="177" t="s">
        <v>511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523</v>
      </c>
      <c r="D21" s="152" t="s">
        <v>513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534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667</v>
      </c>
      <c r="F23" s="155" t="s">
        <v>667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501</v>
      </c>
      <c r="T23" s="287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518</v>
      </c>
      <c r="D24" s="185"/>
      <c r="E24" s="341" t="s">
        <v>668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2" t="s">
        <v>519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512</v>
      </c>
      <c r="D25" s="185"/>
      <c r="E25" s="159">
        <v>9499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524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530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0"/>
      <c r="C34" s="184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2" t="s">
        <v>142</v>
      </c>
      <c r="Q35" s="208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535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528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529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522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526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527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532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533</v>
      </c>
      <c r="D46" s="198" t="s">
        <v>531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531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576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1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516</v>
      </c>
      <c r="D54" s="177" t="s">
        <v>511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523</v>
      </c>
      <c r="D55" s="152" t="s">
        <v>513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534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Meteomedia</v>
      </c>
      <c r="F57" s="155" t="str">
        <f t="shared" ref="F57:N57" si="7">F23</f>
        <v>Meteomedia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518</v>
      </c>
      <c r="D58" s="185"/>
      <c r="E58" s="155" t="str">
        <f>E24</f>
        <v>Görlitz Flugplatz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519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512</v>
      </c>
      <c r="D59" s="185"/>
      <c r="E59" s="159">
        <f>E25</f>
        <v>9499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524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530</v>
      </c>
      <c r="D66" s="183">
        <f>SUMPRODUCT(E66:N66,E63:N63)</f>
        <v>1.875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145</v>
      </c>
    </row>
    <row r="67" spans="2:15">
      <c r="B67" s="180"/>
      <c r="C67" s="184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2" t="s">
        <v>142</v>
      </c>
    </row>
    <row r="69" spans="2:15">
      <c r="B69" s="180"/>
      <c r="C69" s="184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2" t="s">
        <v>142</v>
      </c>
    </row>
    <row r="70" spans="2:15">
      <c r="B70" s="180"/>
      <c r="C70" s="189" t="s">
        <v>443</v>
      </c>
      <c r="D70" s="118" t="s">
        <v>535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2" t="s">
        <v>142</v>
      </c>
    </row>
    <row r="71" spans="2:15"/>
    <row r="72" spans="2:15" ht="15.75" customHeight="1">
      <c r="C72" s="346" t="s">
        <v>577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customSheetViews>
    <customSheetView guid="{B21C4DD6-E4A6-4129-BC39-0646DAE2627C}" showGridLines="0" fitToPage="1" hiddenRows="1" hiddenColumns="1" topLeftCell="A4">
      <selection activeCell="E26" sqref="E26"/>
      <pageMargins left="0.25" right="0.25" top="0.75" bottom="0.75" header="0.3" footer="0.3"/>
      <pageSetup paperSize="9" scale="41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2"/>
  <ignoredErrors>
    <ignoredError sqref="E66:N68 E36:N36 E26:N26 E56:N60 E22:F22 I22:N22 F52 F62 G24:N24 G70:N70 E32:N34 E69:N69 F25:N25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541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Netzbetreiber!$D$9</f>
        <v>Gasversorgung Görlitz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Görlitz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Netzbetreiber!$D$11</f>
        <v>9870020700000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0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0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1" t="str">
        <f>INDEX('SLP-Verfahren'!D48:D62,'SLP-Temp-Gebiet #02'!F10)</f>
        <v>Muster-Temp.gebiet 2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581</v>
      </c>
      <c r="D13" s="344"/>
      <c r="E13" s="344"/>
      <c r="F13" s="180" t="s">
        <v>545</v>
      </c>
      <c r="G13" s="129" t="s">
        <v>543</v>
      </c>
      <c r="H13" s="260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448</v>
      </c>
      <c r="D14" s="345"/>
      <c r="E14" s="89" t="s">
        <v>449</v>
      </c>
      <c r="F14" s="261" t="s">
        <v>85</v>
      </c>
      <c r="G14" s="262" t="s">
        <v>569</v>
      </c>
      <c r="H14" s="51">
        <v>0</v>
      </c>
      <c r="I14" s="57"/>
      <c r="J14" s="129"/>
      <c r="K14" s="129"/>
      <c r="L14" s="129"/>
      <c r="M14" s="129"/>
      <c r="N14" s="129"/>
      <c r="O14" s="330" t="s">
        <v>649</v>
      </c>
      <c r="R14" s="206" t="s">
        <v>561</v>
      </c>
      <c r="S14" s="206" t="s">
        <v>562</v>
      </c>
      <c r="T14" s="206" t="s">
        <v>563</v>
      </c>
      <c r="U14" s="206" t="s">
        <v>564</v>
      </c>
      <c r="V14" s="206" t="s">
        <v>544</v>
      </c>
      <c r="W14" s="206" t="s">
        <v>565</v>
      </c>
      <c r="X14" s="206" t="s">
        <v>566</v>
      </c>
      <c r="Y14" s="206" t="s">
        <v>567</v>
      </c>
      <c r="Z14" s="206" t="s">
        <v>568</v>
      </c>
      <c r="AA14" s="206" t="s">
        <v>569</v>
      </c>
      <c r="AB14" s="206" t="s">
        <v>570</v>
      </c>
      <c r="AC14" s="206" t="s">
        <v>571</v>
      </c>
    </row>
    <row r="15" spans="2:56" ht="19.5" customHeight="1">
      <c r="B15" s="129"/>
      <c r="C15" s="345" t="s">
        <v>388</v>
      </c>
      <c r="D15" s="345"/>
      <c r="E15" s="89" t="s">
        <v>449</v>
      </c>
      <c r="F15" s="261" t="s">
        <v>71</v>
      </c>
      <c r="G15" s="262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525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492</v>
      </c>
      <c r="AI15" s="259" t="s">
        <v>546</v>
      </c>
      <c r="AJ15" s="259" t="s">
        <v>547</v>
      </c>
      <c r="AK15" s="259" t="s">
        <v>548</v>
      </c>
      <c r="AL15" s="259" t="s">
        <v>549</v>
      </c>
      <c r="AM15" s="259" t="s">
        <v>550</v>
      </c>
      <c r="AN15" s="259" t="s">
        <v>551</v>
      </c>
      <c r="AO15" s="259" t="s">
        <v>552</v>
      </c>
      <c r="AP15" s="259" t="s">
        <v>553</v>
      </c>
      <c r="AQ15" s="259" t="s">
        <v>554</v>
      </c>
      <c r="AR15" s="259" t="s">
        <v>555</v>
      </c>
      <c r="AS15" s="259" t="s">
        <v>556</v>
      </c>
      <c r="AT15" s="259" t="s">
        <v>557</v>
      </c>
      <c r="AU15" s="259" t="s">
        <v>558</v>
      </c>
      <c r="AV15" s="259" t="s">
        <v>559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9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515</v>
      </c>
      <c r="C17" s="174"/>
      <c r="D17" s="28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516</v>
      </c>
      <c r="D20" s="177" t="s">
        <v>511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523</v>
      </c>
      <c r="D21" s="152" t="s">
        <v>513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534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501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518</v>
      </c>
      <c r="D24" s="185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2" t="s">
        <v>519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512</v>
      </c>
      <c r="D25" s="185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524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530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0"/>
      <c r="C34" s="184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2" t="s">
        <v>142</v>
      </c>
      <c r="Q35" s="208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535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528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529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522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526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527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532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533</v>
      </c>
      <c r="D46" s="198" t="s">
        <v>531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531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576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516</v>
      </c>
      <c r="D54" s="177" t="s">
        <v>511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523</v>
      </c>
      <c r="D55" s="152" t="s">
        <v>513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534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518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519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512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524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530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142</v>
      </c>
    </row>
    <row r="69" spans="2:15">
      <c r="B69" s="180"/>
      <c r="C69" s="184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142</v>
      </c>
    </row>
    <row r="70" spans="2:15">
      <c r="B70" s="180"/>
      <c r="C70" s="189" t="s">
        <v>443</v>
      </c>
      <c r="D70" s="118" t="s">
        <v>535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142</v>
      </c>
    </row>
    <row r="71" spans="2:15"/>
    <row r="72" spans="2:15" ht="15.75" customHeight="1">
      <c r="C72" s="346" t="s">
        <v>577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customSheetViews>
    <customSheetView guid="{B21C4DD6-E4A6-4129-BC39-0646DAE2627C}" scale="70" showGridLines="0" fitToPage="1" hiddenRows="1" hiddenColumns="1" state="hidden">
      <selection activeCell="J15" sqref="J15"/>
      <pageMargins left="0.25" right="0.25" top="0.75" bottom="0.75" header="0.3" footer="0.3"/>
      <pageSetup paperSize="9" scale="43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2"/>
  <ignoredErrors>
    <ignoredError sqref="F52 F62 E56:N60 E66:N70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N13" sqref="N1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Gasversorgung Görlitz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Görlitz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9870020700000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1" t="s">
        <v>508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3" t="s">
        <v>646</v>
      </c>
    </row>
    <row r="11" spans="2:26" ht="15.75" thickBot="1">
      <c r="B11" s="138" t="s">
        <v>495</v>
      </c>
      <c r="C11" s="139" t="s">
        <v>507</v>
      </c>
      <c r="D11" s="292" t="s">
        <v>247</v>
      </c>
      <c r="E11" s="342" t="s">
        <v>514</v>
      </c>
      <c r="F11" s="294" t="str">
        <f>VLOOKUP($E11,'BDEW-Standard'!$B$3:$M$158,F$9,0)</f>
        <v>OK4</v>
      </c>
      <c r="H11" s="165">
        <f>ROUND(VLOOKUP($E11,'BDEW-Standard'!$B$3:$M$158,H$9,0),7)</f>
        <v>1.4256683999999999</v>
      </c>
      <c r="I11" s="165">
        <f>ROUND(VLOOKUP($E11,'BDEW-Standard'!$B$3:$M$158,I$9,0),7)</f>
        <v>-36.659050399999998</v>
      </c>
      <c r="J11" s="165">
        <f>ROUND(VLOOKUP($E11,'BDEW-Standard'!$B$3:$M$158,J$9,0),7)</f>
        <v>7.6083226000000002</v>
      </c>
      <c r="K11" s="165">
        <f>ROUND(VLOOKUP($E11,'BDEW-Standard'!$B$3:$M$158,K$9,0),7)</f>
        <v>3.7111600000000002E-2</v>
      </c>
      <c r="L11" s="333">
        <f>ROUND(VLOOKUP($E11,'BDEW-Standard'!$B$3:$M$158,L$9,0),1)</f>
        <v>40</v>
      </c>
      <c r="M11" s="165">
        <f>ROUND(VLOOKUP($E11,'BDEW-Standard'!$B$3:$M$158,M$9,0),7)</f>
        <v>-8.0935900000000005E-2</v>
      </c>
      <c r="N11" s="165">
        <f>ROUND(VLOOKUP($E11,'BDEW-Standard'!$B$3:$M$158,N$9,0),7)</f>
        <v>1.2364527000000001</v>
      </c>
      <c r="O11" s="165">
        <f>ROUND(VLOOKUP($E11,'BDEW-Standard'!$B$3:$M$158,O$9,0),7)</f>
        <v>-7.628E-4</v>
      </c>
      <c r="P11" s="165">
        <f>ROUND(VLOOKUP($E11,'BDEW-Standard'!$B$3:$M$158,P$9,0),7)</f>
        <v>0.1002979</v>
      </c>
      <c r="Q11" s="334">
        <f>($H11/(1+($I11/($Q$9-$L11))^$J11)+$K11)+MAX($M11*$Q$9+$N11,$O11*$Q$9+$P11)</f>
        <v>0.99999996033498917</v>
      </c>
      <c r="R11" s="166">
        <f>ROUND(VLOOKUP(MID($E11,4,3),'Wochentag F(WT)'!$B$7:$J$22,R$9,0),4)</f>
        <v>1.0354000000000001</v>
      </c>
      <c r="S11" s="166">
        <f>ROUND(VLOOKUP(MID($E11,4,3),'Wochentag F(WT)'!$B$7:$J$22,S$9,0),4)</f>
        <v>1.0523</v>
      </c>
      <c r="T11" s="166">
        <f>ROUND(VLOOKUP(MID($E11,4,3),'Wochentag F(WT)'!$B$7:$J$22,T$9,0),4)</f>
        <v>1.0448999999999999</v>
      </c>
      <c r="U11" s="166">
        <f>ROUND(VLOOKUP(MID($E11,4,3),'Wochentag F(WT)'!$B$7:$J$22,U$9,0),4)</f>
        <v>1.0494000000000001</v>
      </c>
      <c r="V11" s="166">
        <f>ROUND(VLOOKUP(MID($E11,4,3),'Wochentag F(WT)'!$B$7:$J$22,V$9,0),4)</f>
        <v>0.98850000000000005</v>
      </c>
      <c r="W11" s="166">
        <f>ROUND(VLOOKUP(MID($E11,4,3),'Wochentag F(WT)'!$B$7:$J$22,W$9,0),4)</f>
        <v>0.88600000000000001</v>
      </c>
      <c r="X11" s="167">
        <f>7-SUM(R11:W11)</f>
        <v>0.94349999999999934</v>
      </c>
      <c r="Y11" s="290">
        <v>365.12299999999999</v>
      </c>
    </row>
    <row r="12" spans="2:26">
      <c r="B12" s="140">
        <v>1</v>
      </c>
      <c r="C12" s="141" t="str">
        <f t="shared" ref="C12:C41" si="0">$D$6</f>
        <v>Görlitz</v>
      </c>
      <c r="D12" s="62" t="s">
        <v>669</v>
      </c>
      <c r="E12" s="164" t="s">
        <v>675</v>
      </c>
      <c r="F12" s="343" t="s">
        <v>673</v>
      </c>
      <c r="H12" s="272">
        <v>4.2405099999999996</v>
      </c>
      <c r="I12" s="272">
        <v>-41.231319999999997</v>
      </c>
      <c r="J12" s="272">
        <v>5.0987799999999996</v>
      </c>
      <c r="K12" s="272">
        <v>2.8150000000000001E-2</v>
      </c>
      <c r="L12" s="335"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6">
        <f t="shared" ref="Q12:Q17" si="1">($H12/(1+($I12/($Q$9-$L12))^$J12)+$K12)+MAX($M12*$Q$9+$N12,$O12*$Q$9+$P12)</f>
        <v>0.9417916369020819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2" customFormat="1">
      <c r="B13" s="143">
        <v>2</v>
      </c>
      <c r="C13" s="144" t="str">
        <f t="shared" si="0"/>
        <v>Görlitz</v>
      </c>
      <c r="D13" s="62" t="s">
        <v>669</v>
      </c>
      <c r="E13" s="164" t="s">
        <v>676</v>
      </c>
      <c r="F13" s="343" t="s">
        <v>674</v>
      </c>
      <c r="H13" s="272">
        <v>2.6478700000000002</v>
      </c>
      <c r="I13" s="272">
        <v>-35.177709999999998</v>
      </c>
      <c r="J13" s="272">
        <v>6.37967</v>
      </c>
      <c r="K13" s="272">
        <v>9.5091999999999996E-2</v>
      </c>
      <c r="L13" s="335">
        <v>40</v>
      </c>
      <c r="M13" s="272">
        <f>ROUND(VLOOKUP($E13,'BDEW-Standard'!$B$3:$M$158,M$9,0),7)</f>
        <v>0</v>
      </c>
      <c r="N13" s="272">
        <f>ROUND(VLOOKUP($E13,'BDEW-Standard'!$B$3:$M$158,N$9,0),7)</f>
        <v>0</v>
      </c>
      <c r="O13" s="272">
        <f>ROUND(VLOOKUP($E13,'BDEW-Standard'!$B$3:$M$158,O$9,0),7)</f>
        <v>0</v>
      </c>
      <c r="P13" s="272">
        <f>ROUND(VLOOKUP($E13,'BDEW-Standard'!$B$3:$M$158,P$9,0),7)</f>
        <v>0</v>
      </c>
      <c r="Q13" s="336">
        <f t="shared" si="1"/>
        <v>1.0309224376190949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7" si="2">7-SUM(R13:W13)</f>
        <v>1</v>
      </c>
      <c r="Y13" s="291"/>
      <c r="Z13" s="209"/>
    </row>
    <row r="14" spans="2:26" s="142" customFormat="1">
      <c r="B14" s="143">
        <v>3</v>
      </c>
      <c r="C14" s="144" t="str">
        <f t="shared" si="0"/>
        <v>Görlitz</v>
      </c>
      <c r="D14" s="62" t="s">
        <v>247</v>
      </c>
      <c r="E14" s="163" t="s">
        <v>4</v>
      </c>
      <c r="F14" s="295" t="str">
        <f>VLOOKUP($E14,'BDEW-Standard'!$B$3:$M$158,F$9,0)</f>
        <v>HK3</v>
      </c>
      <c r="H14" s="272">
        <f>ROUND(VLOOKUP($E14,'BDEW-Standard'!$B$3:$M$158,H$9,0),7)</f>
        <v>0.40409319999999999</v>
      </c>
      <c r="I14" s="272">
        <f>ROUND(VLOOKUP($E14,'BDEW-Standard'!$B$3:$M$158,I$9,0),7)</f>
        <v>-24.439296800000001</v>
      </c>
      <c r="J14" s="272">
        <f>ROUND(VLOOKUP($E14,'BDEW-Standard'!$B$3:$M$158,J$9,0),7)</f>
        <v>6.5718174999999999</v>
      </c>
      <c r="K14" s="272">
        <f>ROUND(VLOOKUP($E14,'BDEW-Standard'!$B$3:$M$158,K$9,0),7)</f>
        <v>0.71077100000000004</v>
      </c>
      <c r="L14" s="335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6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2" customFormat="1">
      <c r="B15" s="143">
        <v>4</v>
      </c>
      <c r="C15" s="144" t="str">
        <f t="shared" si="0"/>
        <v>Görlitz</v>
      </c>
      <c r="D15" s="62" t="s">
        <v>247</v>
      </c>
      <c r="E15" s="164" t="s">
        <v>670</v>
      </c>
      <c r="F15" s="295" t="str">
        <f>VLOOKUP($E15,'BDEW-Standard'!$B$3:$M$158,F$9,0)</f>
        <v>MK4</v>
      </c>
      <c r="H15" s="272">
        <f>ROUND(VLOOKUP($E15,'BDEW-Standard'!$B$3:$M$158,H$9,0),7)</f>
        <v>3.1177248</v>
      </c>
      <c r="I15" s="272">
        <f>ROUND(VLOOKUP($E15,'BDEW-Standard'!$B$3:$M$158,I$9,0),7)</f>
        <v>-35.871506199999999</v>
      </c>
      <c r="J15" s="272">
        <f>ROUND(VLOOKUP($E15,'BDEW-Standard'!$B$3:$M$158,J$9,0),7)</f>
        <v>7.5186828999999999</v>
      </c>
      <c r="K15" s="272">
        <f>ROUND(VLOOKUP($E15,'BDEW-Standard'!$B$3:$M$158,K$9,0),7)</f>
        <v>3.4330100000000002E-2</v>
      </c>
      <c r="L15" s="335">
        <f>ROUND(VLOOKUP($E15,'BDEW-Standard'!$B$3:$M$158,L$9,0),1)</f>
        <v>40</v>
      </c>
      <c r="M15" s="272">
        <f>ROUND(VLOOKUP($E15,'BDEW-Standard'!$B$3:$M$158,M$9,0),7)</f>
        <v>0</v>
      </c>
      <c r="N15" s="272">
        <f>ROUND(VLOOKUP($E15,'BDEW-Standard'!$B$3:$M$158,N$9,0),7)</f>
        <v>0</v>
      </c>
      <c r="O15" s="272">
        <f>ROUND(VLOOKUP($E15,'BDEW-Standard'!$B$3:$M$158,O$9,0),7)</f>
        <v>0</v>
      </c>
      <c r="P15" s="272">
        <f>ROUND(VLOOKUP($E15,'BDEW-Standard'!$B$3:$M$158,P$9,0),7)</f>
        <v>0</v>
      </c>
      <c r="Q15" s="336">
        <f t="shared" si="1"/>
        <v>0.9622064996731321</v>
      </c>
      <c r="R15" s="273">
        <f>ROUND(VLOOKUP(MID($E15,4,3),'Wochentag F(WT)'!$B$7:$J$22,R$9,0),4)</f>
        <v>1.0699000000000001</v>
      </c>
      <c r="S15" s="273">
        <f>ROUND(VLOOKUP(MID($E15,4,3),'Wochentag F(WT)'!$B$7:$J$22,S$9,0),4)</f>
        <v>1.0365</v>
      </c>
      <c r="T15" s="273">
        <f>ROUND(VLOOKUP(MID($E15,4,3),'Wochentag F(WT)'!$B$7:$J$22,T$9,0),4)</f>
        <v>0.99329999999999996</v>
      </c>
      <c r="U15" s="273">
        <f>ROUND(VLOOKUP(MID($E15,4,3),'Wochentag F(WT)'!$B$7:$J$22,U$9,0),4)</f>
        <v>0.99480000000000002</v>
      </c>
      <c r="V15" s="273">
        <f>ROUND(VLOOKUP(MID($E15,4,3),'Wochentag F(WT)'!$B$7:$J$22,V$9,0),4)</f>
        <v>1.0659000000000001</v>
      </c>
      <c r="W15" s="273">
        <f>ROUND(VLOOKUP(MID($E15,4,3),'Wochentag F(WT)'!$B$7:$J$22,W$9,0),4)</f>
        <v>0.93620000000000003</v>
      </c>
      <c r="X15" s="274">
        <f t="shared" si="2"/>
        <v>0.90339999999999954</v>
      </c>
      <c r="Y15" s="291"/>
      <c r="Z15" s="209"/>
    </row>
    <row r="16" spans="2:26" s="142" customFormat="1">
      <c r="B16" s="143">
        <v>5</v>
      </c>
      <c r="C16" s="144" t="str">
        <f t="shared" si="0"/>
        <v>Görlitz</v>
      </c>
      <c r="D16" s="62" t="s">
        <v>247</v>
      </c>
      <c r="E16" s="164" t="s">
        <v>671</v>
      </c>
      <c r="F16" s="295" t="str">
        <f>VLOOKUP($E16,'BDEW-Standard'!$B$3:$M$158,F$9,0)</f>
        <v>HA4</v>
      </c>
      <c r="H16" s="272">
        <f>ROUND(VLOOKUP($E16,'BDEW-Standard'!$B$3:$M$158,H$9,0),7)</f>
        <v>4.0196902000000003</v>
      </c>
      <c r="I16" s="272">
        <f>ROUND(VLOOKUP($E16,'BDEW-Standard'!$B$3:$M$158,I$9,0),7)</f>
        <v>-37.828203700000003</v>
      </c>
      <c r="J16" s="272">
        <f>ROUND(VLOOKUP($E16,'BDEW-Standard'!$B$3:$M$158,J$9,0),7)</f>
        <v>8.1593368999999996</v>
      </c>
      <c r="K16" s="272">
        <f>ROUND(VLOOKUP($E16,'BDEW-Standard'!$B$3:$M$158,K$9,0),7)</f>
        <v>4.72845E-2</v>
      </c>
      <c r="L16" s="335">
        <f>ROUND(VLOOKUP($E16,'BDEW-Standard'!$B$3:$M$158,L$9,0),1)</f>
        <v>40</v>
      </c>
      <c r="M16" s="272">
        <f>ROUND(VLOOKUP($E16,'BDEW-Standard'!$B$3:$M$158,M$9,0),7)</f>
        <v>0</v>
      </c>
      <c r="N16" s="272">
        <f>ROUND(VLOOKUP($E16,'BDEW-Standard'!$B$3:$M$158,N$9,0),7)</f>
        <v>0</v>
      </c>
      <c r="O16" s="272">
        <f>ROUND(VLOOKUP($E16,'BDEW-Standard'!$B$3:$M$158,O$9,0),7)</f>
        <v>0</v>
      </c>
      <c r="P16" s="272">
        <f>ROUND(VLOOKUP($E16,'BDEW-Standard'!$B$3:$M$158,P$9,0),7)</f>
        <v>0</v>
      </c>
      <c r="Q16" s="336">
        <f t="shared" si="1"/>
        <v>0.86486713303260787</v>
      </c>
      <c r="R16" s="273">
        <f>ROUND(VLOOKUP(MID($E16,4,3),'Wochentag F(WT)'!$B$7:$J$22,R$9,0),4)</f>
        <v>1.0358000000000001</v>
      </c>
      <c r="S16" s="273">
        <f>ROUND(VLOOKUP(MID($E16,4,3),'Wochentag F(WT)'!$B$7:$J$22,S$9,0),4)</f>
        <v>1.0232000000000001</v>
      </c>
      <c r="T16" s="273">
        <f>ROUND(VLOOKUP(MID($E16,4,3),'Wochentag F(WT)'!$B$7:$J$22,T$9,0),4)</f>
        <v>1.0251999999999999</v>
      </c>
      <c r="U16" s="273">
        <f>ROUND(VLOOKUP(MID($E16,4,3),'Wochentag F(WT)'!$B$7:$J$22,U$9,0),4)</f>
        <v>1.0295000000000001</v>
      </c>
      <c r="V16" s="273">
        <f>ROUND(VLOOKUP(MID($E16,4,3),'Wochentag F(WT)'!$B$7:$J$22,V$9,0),4)</f>
        <v>1.0253000000000001</v>
      </c>
      <c r="W16" s="273">
        <f>ROUND(VLOOKUP(MID($E16,4,3),'Wochentag F(WT)'!$B$7:$J$22,W$9,0),4)</f>
        <v>0.96750000000000003</v>
      </c>
      <c r="X16" s="274">
        <f t="shared" si="2"/>
        <v>0.89350000000000041</v>
      </c>
      <c r="Y16" s="291"/>
      <c r="Z16" s="209"/>
    </row>
    <row r="17" spans="2:26" s="142" customFormat="1">
      <c r="B17" s="143">
        <v>6</v>
      </c>
      <c r="C17" s="144" t="str">
        <f t="shared" si="0"/>
        <v>Görlitz</v>
      </c>
      <c r="D17" s="62" t="s">
        <v>247</v>
      </c>
      <c r="E17" s="164" t="s">
        <v>672</v>
      </c>
      <c r="F17" s="295" t="str">
        <f>VLOOKUP($E17,'BDEW-Standard'!$B$3:$M$158,F$9,0)</f>
        <v>KO4</v>
      </c>
      <c r="H17" s="272">
        <f>ROUND(VLOOKUP($E17,'BDEW-Standard'!$B$3:$M$158,H$9,0),7)</f>
        <v>3.4428942999999999</v>
      </c>
      <c r="I17" s="272">
        <f>ROUND(VLOOKUP($E17,'BDEW-Standard'!$B$3:$M$158,I$9,0),7)</f>
        <v>-36.659050399999998</v>
      </c>
      <c r="J17" s="272">
        <f>ROUND(VLOOKUP($E17,'BDEW-Standard'!$B$3:$M$158,J$9,0),7)</f>
        <v>7.6083226000000002</v>
      </c>
      <c r="K17" s="272">
        <f>ROUND(VLOOKUP($E17,'BDEW-Standard'!$B$3:$M$158,K$9,0),7)</f>
        <v>7.4685000000000001E-2</v>
      </c>
      <c r="L17" s="335">
        <f>ROUND(VLOOKUP($E17,'BDEW-Standard'!$B$3:$M$158,L$9,0),1)</f>
        <v>40</v>
      </c>
      <c r="M17" s="272">
        <f>ROUND(VLOOKUP($E17,'BDEW-Standard'!$B$3:$M$158,M$9,0),7)</f>
        <v>0</v>
      </c>
      <c r="N17" s="272">
        <f>ROUND(VLOOKUP($E17,'BDEW-Standard'!$B$3:$M$158,N$9,0),7)</f>
        <v>0</v>
      </c>
      <c r="O17" s="272">
        <f>ROUND(VLOOKUP($E17,'BDEW-Standard'!$B$3:$M$158,O$9,0),7)</f>
        <v>0</v>
      </c>
      <c r="P17" s="272">
        <f>ROUND(VLOOKUP($E17,'BDEW-Standard'!$B$3:$M$158,P$9,0),7)</f>
        <v>0</v>
      </c>
      <c r="Q17" s="336">
        <f t="shared" si="1"/>
        <v>0.97768382110526542</v>
      </c>
      <c r="R17" s="273">
        <f>ROUND(VLOOKUP(MID($E17,4,3),'Wochentag F(WT)'!$B$7:$J$22,R$9,0),4)</f>
        <v>1.0354000000000001</v>
      </c>
      <c r="S17" s="273">
        <f>ROUND(VLOOKUP(MID($E17,4,3),'Wochentag F(WT)'!$B$7:$J$22,S$9,0),4)</f>
        <v>1.0523</v>
      </c>
      <c r="T17" s="273">
        <f>ROUND(VLOOKUP(MID($E17,4,3),'Wochentag F(WT)'!$B$7:$J$22,T$9,0),4)</f>
        <v>1.0448999999999999</v>
      </c>
      <c r="U17" s="273">
        <f>ROUND(VLOOKUP(MID($E17,4,3),'Wochentag F(WT)'!$B$7:$J$22,U$9,0),4)</f>
        <v>1.0494000000000001</v>
      </c>
      <c r="V17" s="273">
        <f>ROUND(VLOOKUP(MID($E17,4,3),'Wochentag F(WT)'!$B$7:$J$22,V$9,0),4)</f>
        <v>0.98850000000000005</v>
      </c>
      <c r="W17" s="273">
        <f>ROUND(VLOOKUP(MID($E17,4,3),'Wochentag F(WT)'!$B$7:$J$22,W$9,0),4)</f>
        <v>0.88600000000000001</v>
      </c>
      <c r="X17" s="274">
        <f t="shared" si="2"/>
        <v>0.94349999999999934</v>
      </c>
      <c r="Y17" s="291"/>
      <c r="Z17" s="209"/>
    </row>
    <row r="18" spans="2:26" s="142" customFormat="1">
      <c r="B18" s="143">
        <v>7</v>
      </c>
      <c r="C18" s="144" t="str">
        <f t="shared" si="0"/>
        <v>Görlitz</v>
      </c>
      <c r="D18" s="62"/>
      <c r="E18" s="163"/>
      <c r="F18" s="295"/>
      <c r="H18" s="272"/>
      <c r="I18" s="272"/>
      <c r="J18" s="272"/>
      <c r="K18" s="272"/>
      <c r="L18" s="335"/>
      <c r="M18" s="272"/>
      <c r="N18" s="272"/>
      <c r="O18" s="272"/>
      <c r="P18" s="272"/>
      <c r="Q18" s="336"/>
      <c r="R18" s="273"/>
      <c r="S18" s="273"/>
      <c r="T18" s="273"/>
      <c r="U18" s="273"/>
      <c r="V18" s="273"/>
      <c r="W18" s="273"/>
      <c r="X18" s="274"/>
      <c r="Y18" s="291"/>
      <c r="Z18" s="209"/>
    </row>
    <row r="19" spans="2:26" s="142" customFormat="1">
      <c r="B19" s="143">
        <v>8</v>
      </c>
      <c r="C19" s="144" t="str">
        <f t="shared" si="0"/>
        <v>Görlitz</v>
      </c>
      <c r="D19" s="62"/>
      <c r="E19" s="163"/>
      <c r="F19" s="295"/>
      <c r="H19" s="272"/>
      <c r="I19" s="272"/>
      <c r="J19" s="272"/>
      <c r="K19" s="272"/>
      <c r="L19" s="335"/>
      <c r="M19" s="272"/>
      <c r="N19" s="272"/>
      <c r="O19" s="272"/>
      <c r="P19" s="272"/>
      <c r="Q19" s="336"/>
      <c r="R19" s="273"/>
      <c r="S19" s="273"/>
      <c r="T19" s="273"/>
      <c r="U19" s="273"/>
      <c r="V19" s="273"/>
      <c r="W19" s="273"/>
      <c r="X19" s="274"/>
      <c r="Y19" s="291"/>
      <c r="Z19" s="209"/>
    </row>
    <row r="20" spans="2:26" s="142" customFormat="1">
      <c r="B20" s="143">
        <v>9</v>
      </c>
      <c r="C20" s="144" t="str">
        <f t="shared" si="0"/>
        <v>Görlitz</v>
      </c>
      <c r="D20" s="62"/>
      <c r="E20" s="163"/>
      <c r="F20" s="295"/>
      <c r="H20" s="272"/>
      <c r="I20" s="272"/>
      <c r="J20" s="272"/>
      <c r="K20" s="272"/>
      <c r="L20" s="335"/>
      <c r="M20" s="272"/>
      <c r="N20" s="272"/>
      <c r="O20" s="272"/>
      <c r="P20" s="272"/>
      <c r="Q20" s="336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2" customFormat="1">
      <c r="B21" s="143">
        <v>10</v>
      </c>
      <c r="C21" s="144" t="str">
        <f t="shared" si="0"/>
        <v>Görlitz</v>
      </c>
      <c r="D21" s="62"/>
      <c r="E21" s="163"/>
      <c r="F21" s="295"/>
      <c r="H21" s="272"/>
      <c r="I21" s="272"/>
      <c r="J21" s="272"/>
      <c r="K21" s="272"/>
      <c r="L21" s="335"/>
      <c r="M21" s="272"/>
      <c r="N21" s="272"/>
      <c r="O21" s="272"/>
      <c r="P21" s="272"/>
      <c r="Q21" s="336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2" customFormat="1">
      <c r="B22" s="143">
        <v>11</v>
      </c>
      <c r="C22" s="144" t="str">
        <f t="shared" si="0"/>
        <v>Görlitz</v>
      </c>
      <c r="D22" s="62"/>
      <c r="E22" s="163"/>
      <c r="F22" s="295"/>
      <c r="H22" s="272"/>
      <c r="I22" s="272"/>
      <c r="J22" s="272"/>
      <c r="K22" s="272"/>
      <c r="L22" s="335"/>
      <c r="M22" s="272"/>
      <c r="N22" s="272"/>
      <c r="O22" s="272"/>
      <c r="P22" s="272"/>
      <c r="Q22" s="336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2" customFormat="1">
      <c r="B23" s="143">
        <v>12</v>
      </c>
      <c r="C23" s="144" t="str">
        <f t="shared" si="0"/>
        <v>Görlitz</v>
      </c>
      <c r="D23" s="62"/>
      <c r="E23" s="163"/>
      <c r="F23" s="295"/>
      <c r="H23" s="272"/>
      <c r="I23" s="272"/>
      <c r="J23" s="272"/>
      <c r="K23" s="272"/>
      <c r="L23" s="335"/>
      <c r="M23" s="272"/>
      <c r="N23" s="272"/>
      <c r="O23" s="272"/>
      <c r="P23" s="272"/>
      <c r="Q23" s="336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2" customFormat="1">
      <c r="B24" s="143">
        <v>13</v>
      </c>
      <c r="C24" s="144" t="str">
        <f t="shared" si="0"/>
        <v>Görlitz</v>
      </c>
      <c r="D24" s="62"/>
      <c r="E24" s="163"/>
      <c r="F24" s="295"/>
      <c r="H24" s="272"/>
      <c r="I24" s="272"/>
      <c r="J24" s="272"/>
      <c r="K24" s="272"/>
      <c r="L24" s="335"/>
      <c r="M24" s="272"/>
      <c r="N24" s="272"/>
      <c r="O24" s="272"/>
      <c r="P24" s="272"/>
      <c r="Q24" s="336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2" customFormat="1">
      <c r="B25" s="143">
        <v>14</v>
      </c>
      <c r="C25" s="144" t="str">
        <f t="shared" si="0"/>
        <v>Görlitz</v>
      </c>
      <c r="D25" s="62"/>
      <c r="E25" s="163"/>
      <c r="F25" s="295"/>
      <c r="H25" s="272"/>
      <c r="I25" s="272"/>
      <c r="J25" s="272"/>
      <c r="K25" s="272"/>
      <c r="L25" s="335"/>
      <c r="M25" s="272"/>
      <c r="N25" s="272"/>
      <c r="O25" s="272"/>
      <c r="P25" s="272"/>
      <c r="Q25" s="336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2" customFormat="1">
      <c r="B26" s="143">
        <v>15</v>
      </c>
      <c r="C26" s="144" t="str">
        <f t="shared" si="0"/>
        <v>Görlitz</v>
      </c>
      <c r="D26" s="62"/>
      <c r="E26" s="163"/>
      <c r="F26" s="295"/>
      <c r="H26" s="272"/>
      <c r="I26" s="272"/>
      <c r="J26" s="272"/>
      <c r="K26" s="272"/>
      <c r="L26" s="335"/>
      <c r="M26" s="272"/>
      <c r="N26" s="272"/>
      <c r="O26" s="272"/>
      <c r="P26" s="272"/>
      <c r="Q26" s="336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2" customFormat="1">
      <c r="B27" s="143">
        <v>16</v>
      </c>
      <c r="C27" s="144" t="str">
        <f t="shared" si="0"/>
        <v>Görlitz</v>
      </c>
      <c r="D27" s="62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2" customFormat="1">
      <c r="B28" s="143">
        <v>17</v>
      </c>
      <c r="C28" s="144" t="str">
        <f t="shared" si="0"/>
        <v>Görlitz</v>
      </c>
      <c r="D28" s="62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2" customFormat="1">
      <c r="B29" s="143">
        <v>18</v>
      </c>
      <c r="C29" s="144" t="str">
        <f t="shared" si="0"/>
        <v>Görlitz</v>
      </c>
      <c r="D29" s="62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2" customFormat="1">
      <c r="B30" s="143">
        <v>19</v>
      </c>
      <c r="C30" s="144" t="str">
        <f t="shared" si="0"/>
        <v>Görlitz</v>
      </c>
      <c r="D30" s="62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2" customFormat="1">
      <c r="B31" s="143">
        <v>20</v>
      </c>
      <c r="C31" s="144" t="str">
        <f t="shared" si="0"/>
        <v>Görlitz</v>
      </c>
      <c r="D31" s="62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2" customFormat="1">
      <c r="B32" s="143">
        <v>21</v>
      </c>
      <c r="C32" s="144" t="str">
        <f t="shared" si="0"/>
        <v>Görlitz</v>
      </c>
      <c r="D32" s="62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2" customFormat="1">
      <c r="B33" s="143">
        <v>22</v>
      </c>
      <c r="C33" s="144" t="str">
        <f t="shared" si="0"/>
        <v>Görlitz</v>
      </c>
      <c r="D33" s="62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2" customFormat="1">
      <c r="B34" s="143">
        <v>23</v>
      </c>
      <c r="C34" s="144" t="str">
        <f t="shared" si="0"/>
        <v>Görlitz</v>
      </c>
      <c r="D34" s="62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2" customFormat="1">
      <c r="B35" s="143">
        <v>24</v>
      </c>
      <c r="C35" s="144" t="str">
        <f t="shared" si="0"/>
        <v>Görlitz</v>
      </c>
      <c r="D35" s="62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2" customFormat="1">
      <c r="B36" s="143">
        <v>25</v>
      </c>
      <c r="C36" s="144" t="str">
        <f t="shared" si="0"/>
        <v>Görlitz</v>
      </c>
      <c r="D36" s="62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2" customFormat="1">
      <c r="B37" s="143">
        <v>26</v>
      </c>
      <c r="C37" s="144" t="str">
        <f t="shared" si="0"/>
        <v>Görlitz</v>
      </c>
      <c r="D37" s="62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2" customFormat="1">
      <c r="B38" s="143">
        <v>27</v>
      </c>
      <c r="C38" s="144" t="str">
        <f t="shared" si="0"/>
        <v>Görlitz</v>
      </c>
      <c r="D38" s="62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2" customFormat="1">
      <c r="B39" s="143">
        <v>28</v>
      </c>
      <c r="C39" s="144" t="str">
        <f t="shared" si="0"/>
        <v>Görlitz</v>
      </c>
      <c r="D39" s="62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2" customFormat="1">
      <c r="B40" s="143">
        <v>29</v>
      </c>
      <c r="C40" s="144" t="str">
        <f t="shared" si="0"/>
        <v>Görlitz</v>
      </c>
      <c r="D40" s="62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2" customFormat="1">
      <c r="B41" s="143">
        <v>30</v>
      </c>
      <c r="C41" s="144" t="str">
        <f t="shared" si="0"/>
        <v>Görlitz</v>
      </c>
      <c r="D41" s="62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ustomSheetViews>
    <customSheetView guid="{B21C4DD6-E4A6-4129-BC39-0646DAE2627C}" scale="80" showGridLines="0" fitToPage="1" hiddenRows="1" hiddenColumns="1">
      <selection activeCell="N13" sqref="N13"/>
      <pageMargins left="0.25" right="0.25" top="0.75" bottom="0.75" header="0.3" footer="0.3"/>
      <pageSetup paperSize="9" scale="45" orientation="landscape" r:id="rId1"/>
    </customSheetView>
  </customSheetViews>
  <conditionalFormatting sqref="F11:F41 H11:K41 R11:Y41 M11:P41">
    <cfRule type="expression" dxfId="9" priority="11">
      <formula>ISERROR(F11)</formula>
    </cfRule>
  </conditionalFormatting>
  <conditionalFormatting sqref="Y12:Y41 E12:F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2"/>
  <ignoredErrors>
    <ignoredError sqref="L11" formula="1"/>
    <ignoredError sqref="C13:C33 C34:C41 Q12:X17 F14:P17 G12 G13" unlocked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>
      <selection activeCell="X11" sqref="X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Gasversorgung Görlitz GmbH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Görlitz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9870020700000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458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2" t="s">
        <v>580</v>
      </c>
      <c r="C10" s="353"/>
      <c r="D10" s="94">
        <v>2</v>
      </c>
      <c r="E10" s="95" t="str">
        <f>IF(ISERROR(HLOOKUP(E$11,$M$9:$AD$33,$D10,0)),"",HLOOKUP(E$11,$M$9:$AD$33,$D10,0))</f>
        <v/>
      </c>
      <c r="F10" s="350" t="s">
        <v>398</v>
      </c>
      <c r="G10" s="350"/>
      <c r="H10" s="350"/>
      <c r="I10" s="350"/>
      <c r="J10" s="350"/>
      <c r="K10" s="350"/>
      <c r="L10" s="351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2">
        <f>MIN(SUMPRODUCT($M$11:$AD$11,M12:AD12),1)</f>
        <v>1</v>
      </c>
      <c r="F12" s="299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38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3">
        <f t="shared" ref="E13:E33" si="0">MIN(SUMPRODUCT($M$11:$AD$11,M13:AD13),1)</f>
        <v>0</v>
      </c>
      <c r="F13" s="300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38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3">
        <f t="shared" si="0"/>
        <v>0</v>
      </c>
      <c r="F14" s="300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38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3">
        <f t="shared" si="0"/>
        <v>0</v>
      </c>
      <c r="F15" s="300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38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3">
        <f t="shared" si="0"/>
        <v>1</v>
      </c>
      <c r="F16" s="300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38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3">
        <f t="shared" si="0"/>
        <v>1</v>
      </c>
      <c r="F17" s="300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38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3">
        <f t="shared" si="0"/>
        <v>1</v>
      </c>
      <c r="F18" s="300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38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3">
        <f t="shared" si="0"/>
        <v>1</v>
      </c>
      <c r="F19" s="300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38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3">
        <f t="shared" si="0"/>
        <v>1</v>
      </c>
      <c r="F20" s="300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38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3">
        <f t="shared" si="0"/>
        <v>1</v>
      </c>
      <c r="F21" s="300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38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3">
        <f t="shared" si="0"/>
        <v>1</v>
      </c>
      <c r="F22" s="300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38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3">
        <f t="shared" si="0"/>
        <v>0</v>
      </c>
      <c r="F23" s="300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38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3">
        <f t="shared" si="0"/>
        <v>0</v>
      </c>
      <c r="F24" s="300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38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3">
        <f t="shared" si="0"/>
        <v>0</v>
      </c>
      <c r="F25" s="300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38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3">
        <f t="shared" si="0"/>
        <v>1</v>
      </c>
      <c r="F26" s="300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38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3">
        <f t="shared" si="0"/>
        <v>1</v>
      </c>
      <c r="F27" s="300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38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3">
        <f t="shared" si="0"/>
        <v>0</v>
      </c>
      <c r="F28" s="300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38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3">
        <f t="shared" si="0"/>
        <v>1</v>
      </c>
      <c r="F29" s="300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38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3">
        <f t="shared" si="0"/>
        <v>0</v>
      </c>
      <c r="F30" s="300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38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3">
        <f t="shared" si="0"/>
        <v>1</v>
      </c>
      <c r="F31" s="300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38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3">
        <f t="shared" si="0"/>
        <v>1</v>
      </c>
      <c r="F32" s="300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38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4">
        <f t="shared" si="0"/>
        <v>0</v>
      </c>
      <c r="F33" s="301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39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customSheetViews>
    <customSheetView guid="{B21C4DD6-E4A6-4129-BC39-0646DAE2627C}" scale="80" showGridLines="0" fitToPage="1" hiddenRows="1" hiddenColumns="1">
      <selection activeCell="X11" sqref="X11"/>
      <pageMargins left="0.25" right="0.25" top="0.75" bottom="0.75" header="0.3" footer="0.3"/>
      <pageSetup paperSize="9" scale="62" orientation="landscape" r:id="rId1"/>
      <headerFooter alignWithMargins="0"/>
    </customSheetView>
  </customSheetViews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0" t="s">
        <v>347</v>
      </c>
      <c r="B1" s="211">
        <v>42173</v>
      </c>
      <c r="D1" s="130" t="s">
        <v>454</v>
      </c>
      <c r="F1" s="212" t="s">
        <v>542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2" t="s">
        <v>650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0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245</v>
      </c>
      <c r="B96" s="127" t="s">
        <v>55</v>
      </c>
      <c r="C96" s="127" t="s">
        <v>322</v>
      </c>
      <c r="D96" s="230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245</v>
      </c>
      <c r="B97" s="127" t="s">
        <v>60</v>
      </c>
      <c r="C97" s="127" t="s">
        <v>327</v>
      </c>
      <c r="D97" s="230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245</v>
      </c>
      <c r="B98" s="127" t="s">
        <v>65</v>
      </c>
      <c r="C98" s="127" t="s">
        <v>332</v>
      </c>
      <c r="D98" s="230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245</v>
      </c>
      <c r="B99" s="127" t="s">
        <v>18</v>
      </c>
      <c r="C99" s="127" t="s">
        <v>285</v>
      </c>
      <c r="D99" s="230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0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0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0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0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0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0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0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0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0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0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0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0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0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0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0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0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0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0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0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0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0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0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0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0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0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0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0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0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0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0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0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0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0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0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0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0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0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0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0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0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0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0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0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0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0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0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0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0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0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0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0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0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0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0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0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0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0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0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0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customSheetViews>
    <customSheetView guid="{B21C4DD6-E4A6-4129-BC39-0646DAE2627C}" scale="80" showGridLines="0" showAutoFilter="1" state="hidden" topLeftCell="A143">
      <selection activeCell="M158" sqref="A1:M158"/>
      <pageMargins left="0.7" right="0.7" top="0.78740157499999996" bottom="0.78740157499999996" header="0.3" footer="0.3"/>
      <pageSetup paperSize="9" orientation="portrait" r:id="rId1"/>
      <autoFilter ref="A2:M158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7" customWidth="1"/>
    <col min="16" max="16" width="16.5703125" style="232" customWidth="1"/>
    <col min="17" max="16384" width="11.42578125" style="232"/>
  </cols>
  <sheetData>
    <row r="1" spans="1:16" s="231" customFormat="1">
      <c r="A1" s="130" t="s">
        <v>455</v>
      </c>
      <c r="B1" s="127"/>
      <c r="D1" s="212" t="s">
        <v>542</v>
      </c>
    </row>
    <row r="2" spans="1:16">
      <c r="A2" s="232"/>
      <c r="B2" s="231" t="s">
        <v>456</v>
      </c>
    </row>
    <row r="3" spans="1:16" ht="20.100000000000001" customHeight="1">
      <c r="A3" s="354" t="s">
        <v>248</v>
      </c>
      <c r="B3" s="233" t="s">
        <v>86</v>
      </c>
      <c r="C3" s="234"/>
      <c r="D3" s="356" t="s">
        <v>457</v>
      </c>
      <c r="E3" s="357"/>
      <c r="F3" s="357"/>
      <c r="G3" s="357"/>
      <c r="H3" s="357"/>
      <c r="I3" s="357"/>
      <c r="J3" s="358"/>
      <c r="K3" s="235"/>
      <c r="L3" s="235"/>
      <c r="M3" s="235"/>
      <c r="N3" s="235"/>
      <c r="O3" s="236"/>
      <c r="P3" s="235"/>
    </row>
    <row r="4" spans="1:16" ht="20.100000000000001" customHeight="1">
      <c r="A4" s="355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368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368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customSheetViews>
    <customSheetView guid="{B21C4DD6-E4A6-4129-BC39-0646DAE2627C}" scale="80" showPageBreaks="1" showGridLines="0" fitToPage="1" printArea="1" state="hidden" view="pageBreakPreview">
      <selection sqref="A1:P22"/>
      <pageMargins left="0.78740157499999996" right="0.78740157499999996" top="0.984251969" bottom="0.984251969" header="0.4921259845" footer="0.4921259845"/>
      <pageSetup paperSize="9" scale="71" orientation="landscape" r:id="rId1"/>
      <headerFooter alignWithMargins="0"/>
    </customSheetView>
  </customSheetViews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admin</cp:lastModifiedBy>
  <cp:lastPrinted>2015-10-05T12:20:03Z</cp:lastPrinted>
  <dcterms:created xsi:type="dcterms:W3CDTF">2015-01-15T05:25:41Z</dcterms:created>
  <dcterms:modified xsi:type="dcterms:W3CDTF">2016-07-04T13:44:58Z</dcterms:modified>
</cp:coreProperties>
</file>